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45" windowWidth="9390" windowHeight="372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  <sheet name="Лист6" sheetId="6" state="hidden" r:id="rId5"/>
    <sheet name="Лист5" sheetId="7" state="hidden" r:id="rId6"/>
  </sheets>
  <definedNames>
    <definedName name="№2">OFFSET(Лист5!$B$2,MATCH(выбор2,Фотоальбом,0)+вел_мал2,маг_дамаг_танк2,1,1)</definedName>
    <definedName name="№3">OFFSET(Лист5!$B$2,MATCH(выбор3,Фотоальбом,0)+вел_мал3,маг_дамаг_танк3,1,1)</definedName>
    <definedName name="orugie">Лист4!$R$1:$R$11</definedName>
    <definedName name="veshi">Лист4!$E$55:$E$60</definedName>
    <definedName name="Бвещи">Лист4!$F$1:$F$6</definedName>
    <definedName name="вел_мал1">Лист5!$B$16</definedName>
    <definedName name="вел_мал2">Лист5!$C$16</definedName>
    <definedName name="вел_мал3">Лист5!$D$16</definedName>
    <definedName name="вещи">Лист4!$E$1:$E$6</definedName>
    <definedName name="выбор">Лист1!$K$7</definedName>
    <definedName name="выбор_к1">Лист1!$K$10</definedName>
    <definedName name="выбор_к2">Лист1!$O$10</definedName>
    <definedName name="выбор_к3">Лист1!$S$10</definedName>
    <definedName name="выбор2">Лист1!$O$7</definedName>
    <definedName name="выбор3">Лист1!$S$7</definedName>
    <definedName name="класс">Лист4!$V$42:$V$44</definedName>
    <definedName name="левл">Лист4!$E$61:$E$62</definedName>
    <definedName name="маг_дамаг_танк1">Лист5!$B$17</definedName>
    <definedName name="маг_дамаг_танк2">Лист5!$C$17</definedName>
    <definedName name="маг_дамаг_танк3">Лист5!$D$17</definedName>
    <definedName name="путь1">OFFSET(Лист5!$P$2,MATCH(выбор_к1,рис_класс,0)-1,0,1,1)</definedName>
    <definedName name="путь2">OFFSET(Лист5!$P$2,MATCH(выбор_к2,рис_класс,0)-1,0,1,1)</definedName>
    <definedName name="путь3">OFFSET(Лист5!$P$2,MATCH(выбор_к3,рис_класс,0)-1,0,1,1)</definedName>
    <definedName name="рис_класс">Лист5!$O$2:$O$4</definedName>
    <definedName name="учитывать">Лист4!$J$100:$J$101</definedName>
    <definedName name="Фото">OFFSET(Лист5!$B$2,MATCH(выбор,Фотоальбом,0)+вел_мал1,маг_дамаг_танк1,1,1)</definedName>
    <definedName name="Фото2">OFFSET(Лист5!$F$2,MATCH(выбор2,Фотоальбом2,0)-1,0,1,1)</definedName>
    <definedName name="Фото3">OFFSET(Лист5!$J$2,MATCH(выбор3,Фотоальбом3,0)-1,0,1,1)</definedName>
    <definedName name="Фотоальбом">OFFSET(Лист5!$A$1,1,0,COUNTA(Лист5!$A:$A)-1,1)</definedName>
    <definedName name="Фотоальбом2">OFFSET(Лист5!$I$1,1,0,COUNTA(Лист5!$I:$I)-1,1)</definedName>
    <definedName name="Фотоальбом3">OFFSET(Лист5!$E$1,1,0,COUNTA(Лист5!$E:$E)-1,1)</definedName>
  </definedNames>
  <calcPr calcId="125725"/>
</workbook>
</file>

<file path=xl/calcChain.xml><?xml version="1.0" encoding="utf-8"?>
<calcChain xmlns="http://schemas.openxmlformats.org/spreadsheetml/2006/main">
  <c r="B17" i="7"/>
  <c r="D17"/>
  <c r="C17"/>
  <c r="D16"/>
  <c r="C16"/>
  <c r="B16"/>
  <c r="J64" i="4"/>
  <c r="K64"/>
  <c r="L64"/>
  <c r="O64"/>
  <c r="P64"/>
  <c r="Q64"/>
  <c r="G71"/>
  <c r="H71"/>
  <c r="I71"/>
  <c r="G72"/>
  <c r="H72"/>
  <c r="I72"/>
  <c r="G75"/>
  <c r="H75"/>
  <c r="I75"/>
  <c r="G76"/>
  <c r="H76"/>
  <c r="I76"/>
  <c r="J76"/>
  <c r="K76"/>
  <c r="L76"/>
  <c r="O76"/>
  <c r="P76"/>
  <c r="Q76"/>
  <c r="G79"/>
  <c r="H79"/>
  <c r="I79"/>
  <c r="G80"/>
  <c r="H80"/>
  <c r="I80"/>
  <c r="J89"/>
  <c r="K89"/>
  <c r="L89"/>
  <c r="O89"/>
  <c r="P89"/>
  <c r="Q89"/>
  <c r="K96"/>
  <c r="L96"/>
  <c r="M96"/>
  <c r="K97"/>
  <c r="L97"/>
  <c r="M97"/>
  <c r="K98"/>
  <c r="L98"/>
  <c r="M98"/>
  <c r="A21"/>
  <c r="U25" l="1"/>
  <c r="U26" s="1"/>
  <c r="P25"/>
  <c r="P26" s="1"/>
  <c r="K25"/>
  <c r="AC41"/>
  <c r="Y41"/>
  <c r="Y42"/>
  <c r="AC42"/>
  <c r="AB109" i="3"/>
  <c r="AC109"/>
  <c r="AB110"/>
  <c r="AC110"/>
  <c r="AB111"/>
  <c r="AC111"/>
  <c r="L92" i="4" l="1"/>
  <c r="L93"/>
  <c r="L94"/>
  <c r="J96"/>
  <c r="J97"/>
  <c r="J98"/>
  <c r="M92"/>
  <c r="M93"/>
  <c r="M94"/>
  <c r="O13" i="1"/>
  <c r="O12"/>
  <c r="O14"/>
  <c r="S12"/>
  <c r="S13"/>
  <c r="S14"/>
  <c r="AC46" i="4"/>
  <c r="Q16"/>
  <c r="Q14"/>
  <c r="O16"/>
  <c r="O14"/>
  <c r="P15"/>
  <c r="Q15"/>
  <c r="O15"/>
  <c r="P16"/>
  <c r="P14"/>
  <c r="Y45"/>
  <c r="N10"/>
  <c r="L11"/>
  <c r="L9"/>
  <c r="M11"/>
  <c r="M9"/>
  <c r="N11"/>
  <c r="N9"/>
  <c r="L10"/>
  <c r="M10"/>
  <c r="K13" i="1"/>
  <c r="Y44" i="4"/>
  <c r="AC44"/>
  <c r="AC45"/>
  <c r="Y50"/>
  <c r="K26"/>
  <c r="K12" i="1"/>
  <c r="K14"/>
  <c r="Y46" i="4"/>
  <c r="X44"/>
  <c r="W44"/>
  <c r="W17"/>
  <c r="V17"/>
  <c r="S31" s="1"/>
  <c r="U17"/>
  <c r="X31" s="1"/>
  <c r="T17"/>
  <c r="X43"/>
  <c r="W43"/>
  <c r="W16"/>
  <c r="V16"/>
  <c r="R30" s="1"/>
  <c r="U16"/>
  <c r="W31" s="1"/>
  <c r="T16"/>
  <c r="X42"/>
  <c r="W42"/>
  <c r="W15"/>
  <c r="V15"/>
  <c r="Q31" s="1"/>
  <c r="U15"/>
  <c r="V31" s="1"/>
  <c r="T15"/>
  <c r="W34" l="1"/>
  <c r="A24" i="1"/>
  <c r="Q35" i="4"/>
  <c r="A26" i="1"/>
  <c r="W38" i="4"/>
  <c r="X39"/>
  <c r="V39"/>
  <c r="W39"/>
  <c r="X38"/>
  <c r="V38"/>
  <c r="X32"/>
  <c r="W32"/>
  <c r="V32"/>
  <c r="X37"/>
  <c r="W37"/>
  <c r="V37"/>
  <c r="W36"/>
  <c r="V36"/>
  <c r="X36"/>
  <c r="W30"/>
  <c r="V30"/>
  <c r="X30"/>
  <c r="V35"/>
  <c r="X33"/>
  <c r="W33"/>
  <c r="W35"/>
  <c r="X35"/>
  <c r="V33"/>
  <c r="X34"/>
  <c r="V34"/>
  <c r="Q39"/>
  <c r="S39"/>
  <c r="R39"/>
  <c r="Q38"/>
  <c r="S38"/>
  <c r="R38"/>
  <c r="S32"/>
  <c r="Q32"/>
  <c r="R32"/>
  <c r="Q37"/>
  <c r="R37"/>
  <c r="S37"/>
  <c r="Q36"/>
  <c r="S36"/>
  <c r="R36"/>
  <c r="S34"/>
  <c r="R33"/>
  <c r="S35"/>
  <c r="R35"/>
  <c r="Q34"/>
  <c r="S33"/>
  <c r="R34"/>
  <c r="Q33"/>
  <c r="M39"/>
  <c r="A25" i="1"/>
  <c r="I4" i="4"/>
  <c r="I15"/>
  <c r="I11"/>
  <c r="L6"/>
  <c r="L4"/>
  <c r="I10"/>
  <c r="I9"/>
  <c r="L5"/>
  <c r="J11"/>
  <c r="M6"/>
  <c r="M5"/>
  <c r="M4"/>
  <c r="J15"/>
  <c r="J10"/>
  <c r="J9"/>
  <c r="J4"/>
  <c r="K14"/>
  <c r="K10"/>
  <c r="K9"/>
  <c r="K4"/>
  <c r="K11"/>
  <c r="N6"/>
  <c r="N4"/>
  <c r="N5"/>
  <c r="J14"/>
  <c r="I14"/>
  <c r="K15"/>
  <c r="R31"/>
  <c r="Q30"/>
  <c r="S30"/>
  <c r="N36"/>
  <c r="M31"/>
  <c r="L34"/>
  <c r="M36"/>
  <c r="L39"/>
  <c r="N33"/>
  <c r="L38"/>
  <c r="M35"/>
  <c r="N32"/>
  <c r="L30"/>
  <c r="N37"/>
  <c r="L35"/>
  <c r="M32"/>
  <c r="L31"/>
  <c r="N38"/>
  <c r="M37"/>
  <c r="L36"/>
  <c r="N34"/>
  <c r="M33"/>
  <c r="L32"/>
  <c r="N30"/>
  <c r="N39"/>
  <c r="M38"/>
  <c r="L37"/>
  <c r="N35"/>
  <c r="M34"/>
  <c r="L33"/>
  <c r="N31"/>
  <c r="M30"/>
  <c r="C5" l="1"/>
  <c r="AK58"/>
  <c r="C58"/>
  <c r="AJ61"/>
  <c r="B61"/>
  <c r="AL63"/>
  <c r="L74" s="1"/>
  <c r="L70" s="1"/>
  <c r="D63"/>
  <c r="L62" s="1"/>
  <c r="L58" s="1"/>
  <c r="AK66"/>
  <c r="C66"/>
  <c r="AL58"/>
  <c r="D58"/>
  <c r="AK61"/>
  <c r="AE73" s="1"/>
  <c r="C61"/>
  <c r="AJ64"/>
  <c r="Q72" s="1"/>
  <c r="Q68" s="1"/>
  <c r="B64"/>
  <c r="Q60" s="1"/>
  <c r="Q56" s="1"/>
  <c r="AL66"/>
  <c r="D66"/>
  <c r="AK60"/>
  <c r="C60"/>
  <c r="AL65"/>
  <c r="D65"/>
  <c r="AL60"/>
  <c r="D60"/>
  <c r="AJ66"/>
  <c r="B66"/>
  <c r="AJ67"/>
  <c r="B67"/>
  <c r="AJ62"/>
  <c r="K72" s="1"/>
  <c r="K68" s="1"/>
  <c r="B62"/>
  <c r="AL64"/>
  <c r="Q74" s="1"/>
  <c r="Q70" s="1"/>
  <c r="D64"/>
  <c r="Q62" s="1"/>
  <c r="Q58" s="1"/>
  <c r="AK67"/>
  <c r="C67"/>
  <c r="AL59"/>
  <c r="D59"/>
  <c r="AK62"/>
  <c r="C62"/>
  <c r="AJ65"/>
  <c r="B65"/>
  <c r="AL67"/>
  <c r="D67"/>
  <c r="AJ60"/>
  <c r="B60"/>
  <c r="AL62"/>
  <c r="D62"/>
  <c r="AK65"/>
  <c r="C65"/>
  <c r="AJ59"/>
  <c r="B59"/>
  <c r="AJ63"/>
  <c r="L72" s="1"/>
  <c r="L68" s="1"/>
  <c r="B63"/>
  <c r="L60" s="1"/>
  <c r="L56" s="1"/>
  <c r="AJ58"/>
  <c r="B58"/>
  <c r="AK63"/>
  <c r="L73" s="1"/>
  <c r="L69" s="1"/>
  <c r="C63"/>
  <c r="L61" s="1"/>
  <c r="L57" s="1"/>
  <c r="AL61"/>
  <c r="D61"/>
  <c r="AK64"/>
  <c r="Q73" s="1"/>
  <c r="Q69" s="1"/>
  <c r="C64"/>
  <c r="Q61" s="1"/>
  <c r="Q57" s="1"/>
  <c r="AK59"/>
  <c r="C59"/>
  <c r="AO58"/>
  <c r="AN61"/>
  <c r="AP63"/>
  <c r="AO66"/>
  <c r="AP58"/>
  <c r="AO61"/>
  <c r="AA73"/>
  <c r="AA69" s="1"/>
  <c r="AN64"/>
  <c r="AP66"/>
  <c r="AO60"/>
  <c r="AP65"/>
  <c r="AP60"/>
  <c r="AN66"/>
  <c r="AN67"/>
  <c r="AN62"/>
  <c r="AP64"/>
  <c r="AO67"/>
  <c r="AP59"/>
  <c r="AO62"/>
  <c r="AN65"/>
  <c r="AP67"/>
  <c r="AN60"/>
  <c r="AP62"/>
  <c r="AO65"/>
  <c r="AN59"/>
  <c r="AN63"/>
  <c r="AN58"/>
  <c r="AO63"/>
  <c r="AP61"/>
  <c r="AO64"/>
  <c r="AO59"/>
  <c r="D5"/>
  <c r="C8"/>
  <c r="B11"/>
  <c r="D13"/>
  <c r="B6"/>
  <c r="D8"/>
  <c r="C11"/>
  <c r="B5"/>
  <c r="B9"/>
  <c r="B4"/>
  <c r="AE9" s="1"/>
  <c r="C9"/>
  <c r="D7"/>
  <c r="C10"/>
  <c r="C13"/>
  <c r="C4"/>
  <c r="B7"/>
  <c r="D9"/>
  <c r="C12"/>
  <c r="D4"/>
  <c r="C7"/>
  <c r="B10"/>
  <c r="D12"/>
  <c r="C6"/>
  <c r="D11"/>
  <c r="D6"/>
  <c r="B12"/>
  <c r="B13"/>
  <c r="B8"/>
  <c r="D10"/>
  <c r="AF72" l="1"/>
  <c r="AF68" s="1"/>
  <c r="AF62"/>
  <c r="AF58" s="1"/>
  <c r="K62"/>
  <c r="K58" s="1"/>
  <c r="AF61"/>
  <c r="AF57" s="1"/>
  <c r="K61"/>
  <c r="K57" s="1"/>
  <c r="AF60"/>
  <c r="AF56" s="1"/>
  <c r="K60"/>
  <c r="K56" s="1"/>
  <c r="P87"/>
  <c r="P83" s="1"/>
  <c r="AE69"/>
  <c r="AF74"/>
  <c r="AF70" s="1"/>
  <c r="K74"/>
  <c r="K70" s="1"/>
  <c r="AF73"/>
  <c r="AF69" s="1"/>
  <c r="K73"/>
  <c r="K69" s="1"/>
  <c r="J87"/>
  <c r="J83" s="1"/>
  <c r="J86"/>
  <c r="J82" s="1"/>
  <c r="AF87"/>
  <c r="AF83" s="1"/>
  <c r="AF86"/>
  <c r="AF82" s="1"/>
  <c r="AF85"/>
  <c r="AF81" s="1"/>
  <c r="J85"/>
  <c r="J81" s="1"/>
  <c r="U73"/>
  <c r="U69" s="1"/>
  <c r="Y73"/>
  <c r="Y69" s="1"/>
  <c r="P73"/>
  <c r="P69" s="1"/>
  <c r="Q86"/>
  <c r="Q82" s="1"/>
  <c r="U86"/>
  <c r="U82" s="1"/>
  <c r="Y86"/>
  <c r="Y82" s="1"/>
  <c r="AA74"/>
  <c r="AA70" s="1"/>
  <c r="AE74"/>
  <c r="AE70" s="1"/>
  <c r="L86"/>
  <c r="L82" s="1"/>
  <c r="P86"/>
  <c r="P82" s="1"/>
  <c r="T86"/>
  <c r="T82" s="1"/>
  <c r="O60"/>
  <c r="O56" s="1"/>
  <c r="J60"/>
  <c r="J56" s="1"/>
  <c r="T60"/>
  <c r="T56" s="1"/>
  <c r="U60"/>
  <c r="U56" s="1"/>
  <c r="Y60"/>
  <c r="Y56" s="1"/>
  <c r="P60"/>
  <c r="P56" s="1"/>
  <c r="V86"/>
  <c r="V82" s="1"/>
  <c r="Z86"/>
  <c r="Z82" s="1"/>
  <c r="AD86"/>
  <c r="AD82" s="1"/>
  <c r="V60"/>
  <c r="V56" s="1"/>
  <c r="Z60"/>
  <c r="Z56" s="1"/>
  <c r="AD60"/>
  <c r="AD56" s="1"/>
  <c r="P74"/>
  <c r="P70" s="1"/>
  <c r="U74"/>
  <c r="U70" s="1"/>
  <c r="Y74"/>
  <c r="Y70" s="1"/>
  <c r="Q87"/>
  <c r="Q83" s="1"/>
  <c r="U87"/>
  <c r="U83" s="1"/>
  <c r="Y87"/>
  <c r="Y83" s="1"/>
  <c r="V62"/>
  <c r="V58" s="1"/>
  <c r="Z62"/>
  <c r="Z58" s="1"/>
  <c r="AD62"/>
  <c r="AD58" s="1"/>
  <c r="V87"/>
  <c r="V83" s="1"/>
  <c r="Z87"/>
  <c r="Z83" s="1"/>
  <c r="AD87"/>
  <c r="AD83" s="1"/>
  <c r="V73"/>
  <c r="V69" s="1"/>
  <c r="Z73"/>
  <c r="Z69" s="1"/>
  <c r="AD73"/>
  <c r="AD69" s="1"/>
  <c r="Q85"/>
  <c r="Q81" s="1"/>
  <c r="U85"/>
  <c r="U81" s="1"/>
  <c r="Y85"/>
  <c r="Y81" s="1"/>
  <c r="AA61"/>
  <c r="AA57" s="1"/>
  <c r="AE61"/>
  <c r="AE57" s="1"/>
  <c r="J74"/>
  <c r="J70" s="1"/>
  <c r="T74"/>
  <c r="T70" s="1"/>
  <c r="O74"/>
  <c r="O70" s="1"/>
  <c r="AA86"/>
  <c r="AA82" s="1"/>
  <c r="AE86"/>
  <c r="AE82" s="1"/>
  <c r="AA72"/>
  <c r="AA68" s="1"/>
  <c r="AE72"/>
  <c r="AE68" s="1"/>
  <c r="O61"/>
  <c r="O57" s="1"/>
  <c r="J61"/>
  <c r="J57" s="1"/>
  <c r="T61"/>
  <c r="T57" s="1"/>
  <c r="U61"/>
  <c r="U57" s="1"/>
  <c r="Y61"/>
  <c r="Y57" s="1"/>
  <c r="P61"/>
  <c r="P57" s="1"/>
  <c r="AA62"/>
  <c r="AA58" s="1"/>
  <c r="AE62"/>
  <c r="AE58" s="1"/>
  <c r="J72"/>
  <c r="J68" s="1"/>
  <c r="T72"/>
  <c r="T68" s="1"/>
  <c r="O72"/>
  <c r="O68" s="1"/>
  <c r="L85"/>
  <c r="L81" s="1"/>
  <c r="P85"/>
  <c r="P81" s="1"/>
  <c r="T85"/>
  <c r="T81" s="1"/>
  <c r="P72"/>
  <c r="P68" s="1"/>
  <c r="U72"/>
  <c r="U68" s="1"/>
  <c r="Y72"/>
  <c r="Y68" s="1"/>
  <c r="K87"/>
  <c r="K83" s="1"/>
  <c r="O87"/>
  <c r="O83" s="1"/>
  <c r="V72"/>
  <c r="V68" s="1"/>
  <c r="Z72"/>
  <c r="Z68" s="1"/>
  <c r="AD72"/>
  <c r="AD68" s="1"/>
  <c r="V85"/>
  <c r="V81" s="1"/>
  <c r="Z85"/>
  <c r="Z81" s="1"/>
  <c r="AD85"/>
  <c r="AD81" s="1"/>
  <c r="K86"/>
  <c r="K82" s="1"/>
  <c r="O86"/>
  <c r="O82" s="1"/>
  <c r="U62"/>
  <c r="U58" s="1"/>
  <c r="Y62"/>
  <c r="Y58" s="1"/>
  <c r="P62"/>
  <c r="P58" s="1"/>
  <c r="K85"/>
  <c r="K81" s="1"/>
  <c r="O85"/>
  <c r="O81" s="1"/>
  <c r="AA85"/>
  <c r="AA81" s="1"/>
  <c r="AE85"/>
  <c r="AE81" s="1"/>
  <c r="V74"/>
  <c r="V70" s="1"/>
  <c r="Z74"/>
  <c r="Z70" s="1"/>
  <c r="AD74"/>
  <c r="AD70" s="1"/>
  <c r="V61"/>
  <c r="V57" s="1"/>
  <c r="Z61"/>
  <c r="Z57" s="1"/>
  <c r="AD61"/>
  <c r="AD57" s="1"/>
  <c r="AA87"/>
  <c r="AA83" s="1"/>
  <c r="AE87"/>
  <c r="AE83" s="1"/>
  <c r="O62"/>
  <c r="O58" s="1"/>
  <c r="J62"/>
  <c r="J58" s="1"/>
  <c r="T62"/>
  <c r="T58" s="1"/>
  <c r="L87"/>
  <c r="L83" s="1"/>
  <c r="T87"/>
  <c r="T83" s="1"/>
  <c r="AA60"/>
  <c r="AA56" s="1"/>
  <c r="AE60"/>
  <c r="AE56" s="1"/>
  <c r="O73"/>
  <c r="O69" s="1"/>
  <c r="J73"/>
  <c r="J69" s="1"/>
  <c r="T73"/>
  <c r="T69" s="1"/>
  <c r="Z46"/>
  <c r="AB46"/>
  <c r="U13" i="1" l="1"/>
  <c r="V14"/>
  <c r="U12"/>
  <c r="U14"/>
  <c r="T14"/>
  <c r="V12"/>
  <c r="T12"/>
  <c r="V13"/>
  <c r="T13"/>
  <c r="R13"/>
  <c r="P14"/>
  <c r="Q13"/>
  <c r="Q12"/>
  <c r="R12"/>
  <c r="P12"/>
  <c r="Q14"/>
  <c r="R14"/>
  <c r="P13"/>
  <c r="L13"/>
  <c r="AA46" i="4"/>
  <c r="Z21"/>
  <c r="AF31"/>
  <c r="AG39"/>
  <c r="AG30"/>
  <c r="AG17"/>
  <c r="Z13"/>
  <c r="AA15"/>
  <c r="AF22"/>
  <c r="AA26"/>
  <c r="AF29"/>
  <c r="AB10"/>
  <c r="AB31"/>
  <c r="AC39"/>
  <c r="AE15"/>
  <c r="AD38"/>
  <c r="AE38"/>
  <c r="Y39"/>
  <c r="Y26"/>
  <c r="Z17"/>
  <c r="AB11"/>
  <c r="AC35"/>
  <c r="AA34"/>
  <c r="Y22"/>
  <c r="AG22"/>
  <c r="Z33"/>
  <c r="AB27"/>
  <c r="V15" i="1" l="1"/>
  <c r="M13"/>
  <c r="M14"/>
  <c r="L14"/>
  <c r="N13"/>
  <c r="N14"/>
  <c r="L12"/>
  <c r="N12"/>
  <c r="M12"/>
  <c r="P4" i="4"/>
  <c r="AE6"/>
  <c r="AD10"/>
  <c r="AF6"/>
  <c r="AG4"/>
  <c r="O5"/>
  <c r="Q10"/>
  <c r="O11"/>
  <c r="O9"/>
  <c r="Q6"/>
  <c r="P11"/>
  <c r="Q9"/>
  <c r="P5"/>
  <c r="P6"/>
  <c r="Y9"/>
  <c r="AB9"/>
  <c r="AG29"/>
  <c r="AD15"/>
  <c r="AD11"/>
  <c r="AE4"/>
  <c r="Y4"/>
  <c r="AB13"/>
  <c r="AD29"/>
  <c r="AG15"/>
  <c r="AA14"/>
  <c r="Q5"/>
  <c r="Y17"/>
  <c r="AB29"/>
  <c r="AF30"/>
  <c r="AC33"/>
  <c r="AC27"/>
  <c r="AD19"/>
  <c r="AD22"/>
  <c r="AG37"/>
  <c r="AD31"/>
  <c r="AD37"/>
  <c r="AB38"/>
  <c r="AA35"/>
  <c r="AF37"/>
  <c r="AC37"/>
  <c r="AE23"/>
  <c r="AE26"/>
  <c r="AB14"/>
  <c r="Y18"/>
  <c r="AB18"/>
  <c r="AE7"/>
  <c r="AE29"/>
  <c r="Y6"/>
  <c r="Y29"/>
  <c r="AB4"/>
  <c r="AB6"/>
  <c r="AE17"/>
  <c r="AE21"/>
  <c r="AC30"/>
  <c r="AF27"/>
  <c r="AD23"/>
  <c r="AA23"/>
  <c r="AA22"/>
  <c r="AG25"/>
  <c r="AA19"/>
  <c r="AD21"/>
  <c r="AG18"/>
  <c r="AD34"/>
  <c r="AG31"/>
  <c r="AD14"/>
  <c r="AD17"/>
  <c r="Y35"/>
  <c r="AE35"/>
  <c r="AD35"/>
  <c r="AG38"/>
  <c r="AC31"/>
  <c r="AC34"/>
  <c r="Z37"/>
  <c r="AB21"/>
  <c r="Y23"/>
  <c r="AE11"/>
  <c r="Y14"/>
  <c r="Y15"/>
  <c r="AB7"/>
  <c r="Y7"/>
  <c r="AE33"/>
  <c r="AE25"/>
  <c r="Y37"/>
  <c r="AB37"/>
  <c r="AB33"/>
  <c r="Y25"/>
  <c r="Y33"/>
  <c r="AB25"/>
  <c r="Z26"/>
  <c r="AF23"/>
  <c r="AC29"/>
  <c r="AF26"/>
  <c r="AA10"/>
  <c r="AA7"/>
  <c r="AG13"/>
  <c r="AG7"/>
  <c r="AD13"/>
  <c r="AC22"/>
  <c r="Z25"/>
  <c r="AC19"/>
  <c r="Z22"/>
  <c r="AC10"/>
  <c r="AC7"/>
  <c r="AC13"/>
  <c r="AF10"/>
  <c r="Z38"/>
  <c r="AF38"/>
  <c r="Z35"/>
  <c r="Z14"/>
  <c r="AF14"/>
  <c r="AC14"/>
  <c r="AC11"/>
  <c r="Z11"/>
  <c r="AB39"/>
  <c r="AE39"/>
  <c r="AA30"/>
  <c r="AD33"/>
  <c r="AA33"/>
  <c r="AD27"/>
  <c r="AA39"/>
  <c r="AA9"/>
  <c r="AA6"/>
  <c r="AG9"/>
  <c r="AD9"/>
  <c r="AD4"/>
  <c r="AF39"/>
  <c r="Z15"/>
  <c r="AC15"/>
  <c r="AC21"/>
  <c r="Z18"/>
  <c r="AC6"/>
  <c r="Z6"/>
  <c r="AC4"/>
  <c r="Z9"/>
  <c r="Z4"/>
  <c r="Y34"/>
  <c r="Y31"/>
  <c r="AE31"/>
  <c r="AE30"/>
  <c r="Y30"/>
  <c r="Y27"/>
  <c r="AB22"/>
  <c r="AB19"/>
  <c r="Y19"/>
  <c r="AE37"/>
  <c r="AB17"/>
  <c r="AE13"/>
  <c r="Y21"/>
  <c r="Y13"/>
  <c r="AC26"/>
  <c r="Z23"/>
  <c r="Z29"/>
  <c r="AC23"/>
  <c r="Z30"/>
  <c r="Z27"/>
  <c r="AF33"/>
  <c r="AG23"/>
  <c r="AG26"/>
  <c r="AD26"/>
  <c r="AA29"/>
  <c r="AA13"/>
  <c r="AD7"/>
  <c r="AG10"/>
  <c r="AF19"/>
  <c r="AF25"/>
  <c r="Z19"/>
  <c r="AC25"/>
  <c r="AA25"/>
  <c r="AG19"/>
  <c r="AD25"/>
  <c r="AA18"/>
  <c r="AA21"/>
  <c r="AD18"/>
  <c r="AG21"/>
  <c r="AA31"/>
  <c r="AG34"/>
  <c r="AA37"/>
  <c r="Z10"/>
  <c r="Z7"/>
  <c r="AF13"/>
  <c r="AF7"/>
  <c r="AF35"/>
  <c r="AC38"/>
  <c r="AC17"/>
  <c r="AF17"/>
  <c r="AF11"/>
  <c r="AG11"/>
  <c r="AG14"/>
  <c r="AA17"/>
  <c r="AA11"/>
  <c r="AG33"/>
  <c r="AG27"/>
  <c r="AA27"/>
  <c r="AD30"/>
  <c r="AB35"/>
  <c r="Y38"/>
  <c r="AD39"/>
  <c r="AA38"/>
  <c r="AG35"/>
  <c r="AD6"/>
  <c r="AA4"/>
  <c r="AG6"/>
  <c r="Z31"/>
  <c r="AF34"/>
  <c r="Z34"/>
  <c r="Z39"/>
  <c r="AF15"/>
  <c r="AF18"/>
  <c r="AF21"/>
  <c r="AC18"/>
  <c r="AF9"/>
  <c r="AF4"/>
  <c r="AC9"/>
  <c r="AB26"/>
  <c r="AB23"/>
  <c r="AE34"/>
  <c r="AB34"/>
  <c r="AB30"/>
  <c r="AE27"/>
  <c r="AE22"/>
  <c r="AE19"/>
  <c r="Y11"/>
  <c r="AE14"/>
  <c r="AE18"/>
  <c r="AB15"/>
  <c r="AE10"/>
  <c r="Y10"/>
  <c r="AF45" l="1"/>
  <c r="AE46"/>
  <c r="C26" i="1" s="1"/>
  <c r="N15"/>
  <c r="P10" i="4"/>
  <c r="AE45" s="1"/>
  <c r="O10"/>
  <c r="AD45" s="1"/>
  <c r="P9"/>
  <c r="AE44" s="1"/>
  <c r="I4" i="1"/>
  <c r="O4" i="4"/>
  <c r="AD44" s="1"/>
  <c r="I5" i="1"/>
  <c r="Q11" i="4"/>
  <c r="AF46" s="1"/>
  <c r="D26" i="1" s="1"/>
  <c r="Q4" i="4"/>
  <c r="AF44" s="1"/>
  <c r="O6"/>
  <c r="AD46" s="1"/>
  <c r="B26" i="1" s="1"/>
  <c r="Z45" i="4"/>
  <c r="H6" i="1"/>
  <c r="G8"/>
  <c r="I13"/>
  <c r="H4"/>
  <c r="I11"/>
  <c r="I8"/>
  <c r="G4"/>
  <c r="H5"/>
  <c r="H11"/>
  <c r="H13"/>
  <c r="G13"/>
  <c r="G6"/>
  <c r="G5"/>
  <c r="H7"/>
  <c r="H12"/>
  <c r="G12"/>
  <c r="H15"/>
  <c r="I12"/>
  <c r="I14"/>
  <c r="G11"/>
  <c r="H8"/>
  <c r="G7"/>
  <c r="I7"/>
  <c r="I15"/>
  <c r="G14"/>
  <c r="H14"/>
  <c r="G15"/>
  <c r="I6"/>
  <c r="B25" l="1"/>
  <c r="Z44" i="4"/>
  <c r="B24" i="1" s="1"/>
  <c r="AB44" i="4"/>
  <c r="D24" i="1" s="1"/>
  <c r="AA44" i="4"/>
  <c r="C24" i="1" s="1"/>
  <c r="AB45" i="4"/>
  <c r="D25" i="1" s="1"/>
  <c r="AA45" i="4"/>
  <c r="C25" i="1" s="1"/>
  <c r="AF47" i="4"/>
  <c r="D27" i="1" l="1"/>
  <c r="AB47" i="4"/>
  <c r="R15" i="1"/>
</calcChain>
</file>

<file path=xl/comments1.xml><?xml version="1.0" encoding="utf-8"?>
<comments xmlns="http://schemas.openxmlformats.org/spreadsheetml/2006/main">
  <authors>
    <author>Павел</author>
  </authors>
  <commentList>
    <comment ref="A4" authorId="0">
      <text>
        <r>
          <rPr>
            <sz val="9"/>
            <color indexed="81"/>
            <rFont val="Tahoma"/>
            <family val="2"/>
            <charset val="204"/>
          </rPr>
          <t xml:space="preserve">
 </t>
        </r>
      </text>
    </comment>
    <comment ref="A5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8" authorId="0">
      <text/>
    </comment>
    <comment ref="A9" authorId="0">
      <text/>
    </comment>
    <comment ref="A10" authorId="0">
      <text/>
    </comment>
    <comment ref="A11" authorId="0">
      <text/>
    </comment>
    <comment ref="A12" authorId="0">
      <text/>
    </comment>
    <comment ref="A13" authorId="0">
      <text/>
    </comment>
  </commentList>
</comments>
</file>

<file path=xl/sharedStrings.xml><?xml version="1.0" encoding="utf-8"?>
<sst xmlns="http://schemas.openxmlformats.org/spreadsheetml/2006/main" count="546" uniqueCount="101">
  <si>
    <t>свечки</t>
  </si>
  <si>
    <t>Обычные</t>
  </si>
  <si>
    <t>Великие</t>
  </si>
  <si>
    <t>силы</t>
  </si>
  <si>
    <t>жизни</t>
  </si>
  <si>
    <t>магии</t>
  </si>
  <si>
    <t>оружие</t>
  </si>
  <si>
    <t>великая броня поножи</t>
  </si>
  <si>
    <t>истока</t>
  </si>
  <si>
    <t>маг</t>
  </si>
  <si>
    <t>звучания</t>
  </si>
  <si>
    <t>дамаг</t>
  </si>
  <si>
    <t>сияния</t>
  </si>
  <si>
    <t>знака</t>
  </si>
  <si>
    <t>основ</t>
  </si>
  <si>
    <t>дара</t>
  </si>
  <si>
    <t>стихии</t>
  </si>
  <si>
    <t>всего нехватает</t>
  </si>
  <si>
    <t>ценности</t>
  </si>
  <si>
    <t>торжества</t>
  </si>
  <si>
    <t>свечи отложеные на вещи</t>
  </si>
  <si>
    <t>величия</t>
  </si>
  <si>
    <t>вещь№1</t>
  </si>
  <si>
    <t>вещь №2</t>
  </si>
  <si>
    <t>вещь №3</t>
  </si>
  <si>
    <t>ТАБЛИЧКА ДЛЯ ЗАПОЛНЕНИЯ</t>
  </si>
  <si>
    <t>дамагер</t>
  </si>
  <si>
    <t xml:space="preserve">нехватает </t>
  </si>
  <si>
    <t>танк</t>
  </si>
  <si>
    <t>броня поножи</t>
  </si>
  <si>
    <t>Краткая инструкция ))</t>
  </si>
  <si>
    <t>руки плечи</t>
  </si>
  <si>
    <t>кольча сапоги</t>
  </si>
  <si>
    <t>шлем</t>
  </si>
  <si>
    <t>великого</t>
  </si>
  <si>
    <t>исполина</t>
  </si>
  <si>
    <t>бесстрашия</t>
  </si>
  <si>
    <t>гнева</t>
  </si>
  <si>
    <t>сапоги кольчуга</t>
  </si>
  <si>
    <t>плечи руки</t>
  </si>
  <si>
    <t>великое оружие</t>
  </si>
  <si>
    <t>великие сапоги кольчуга</t>
  </si>
  <si>
    <t>великие плечи руки</t>
  </si>
  <si>
    <t>великий шлем</t>
  </si>
  <si>
    <t>2-3-4</t>
  </si>
  <si>
    <t>4-6-8</t>
  </si>
  <si>
    <t>малые</t>
  </si>
  <si>
    <t>великие</t>
  </si>
  <si>
    <t>маленькие</t>
  </si>
  <si>
    <t>4-5</t>
  </si>
  <si>
    <t>свечки))</t>
  </si>
  <si>
    <t>№3</t>
  </si>
  <si>
    <t>№2</t>
  </si>
  <si>
    <t>№1</t>
  </si>
  <si>
    <t>д</t>
  </si>
  <si>
    <t>т</t>
  </si>
  <si>
    <t>м</t>
  </si>
  <si>
    <t>-</t>
  </si>
  <si>
    <t xml:space="preserve">Ели при выделении ячейки с названием вещи или класса для кторого вещи предназначены с боку появилась стрелочка </t>
  </si>
  <si>
    <t>смело жмём на неё и выбераем нужное вам</t>
  </si>
  <si>
    <t>Ячейки с вещами свечи на которые мы хотим отложить тоже вариативны</t>
  </si>
  <si>
    <t>Чтобы отложить выбираем нужную вещь и клас для которого вещь предназначена свечи автоматически минусуются</t>
  </si>
  <si>
    <t>и выберите нужную вещь и класс для которого вещь предназначена .</t>
  </si>
  <si>
    <t>вещи</t>
  </si>
  <si>
    <t>классы</t>
  </si>
  <si>
    <t>свечи</t>
  </si>
  <si>
    <t>m</t>
  </si>
  <si>
    <t>b</t>
  </si>
  <si>
    <t>o</t>
  </si>
  <si>
    <t>k</t>
  </si>
  <si>
    <t>p</t>
  </si>
  <si>
    <t>shlem</t>
  </si>
  <si>
    <t xml:space="preserve">пасмотреть количество свечей </t>
  </si>
  <si>
    <t xml:space="preserve">необходимых на вещь </t>
  </si>
  <si>
    <t xml:space="preserve">В этих табличках количество свечей будет показыватся с учетом свечей </t>
  </si>
  <si>
    <t>необходимых на уже выбранные вещи</t>
  </si>
  <si>
    <t>учитывать отложеные свечи</t>
  </si>
  <si>
    <t>не учитывать отложеные свечи</t>
  </si>
  <si>
    <t>Ячейки таблицах вариативны (название вещи,класса и т.п. можно менять)</t>
  </si>
  <si>
    <t xml:space="preserve">Для изменения вещи, класса и выделите  ячейку (клацните по ней)  сбоку появится стрелочка нажмите на неё, </t>
  </si>
  <si>
    <t>Если вы не хотите откладывать свечи то ячейки вещей должны быть не заполнеными !</t>
  </si>
  <si>
    <t xml:space="preserve">В этой таблице вы сможете </t>
  </si>
  <si>
    <t>без отминусовывания отложеных свечей</t>
  </si>
  <si>
    <t>приоритет</t>
  </si>
  <si>
    <t>1lmn</t>
  </si>
  <si>
    <t>2qrs</t>
  </si>
  <si>
    <t>3vwx</t>
  </si>
  <si>
    <t>Таблички имеют приоритет (тоесть в таблице №1 не учитваются свечи с таблиц №2 и №3,  в таблице №2</t>
  </si>
  <si>
    <t xml:space="preserve"> учитываются свечки с таблицы №1 и не учитываются с таблицы №3, в таблице №3 учитываются свечи с таблиц №1 и №2)</t>
  </si>
  <si>
    <t>r</t>
  </si>
  <si>
    <t>Модель</t>
  </si>
  <si>
    <t>Фото</t>
  </si>
  <si>
    <t>великая броня</t>
  </si>
  <si>
    <t>великая кольчуга</t>
  </si>
  <si>
    <t>великие плечи</t>
  </si>
  <si>
    <t>вел-мал</t>
  </si>
  <si>
    <t>маг-дамаг-танк</t>
  </si>
  <si>
    <t>шаг 1</t>
  </si>
  <si>
    <t>шаг 2</t>
  </si>
  <si>
    <t>шаг 3</t>
  </si>
  <si>
    <r>
      <t>Made in       </t>
    </r>
    <r>
      <rPr>
        <sz val="14"/>
        <color theme="1"/>
        <rFont val="Mistral"/>
        <family val="4"/>
        <charset val="204"/>
      </rPr>
      <t>Х</t>
    </r>
    <r>
      <rPr>
        <sz val="14"/>
        <color indexed="8"/>
        <rFont val="Mistral"/>
        <family val="4"/>
        <charset val="204"/>
      </rPr>
      <t>омоленд</t>
    </r>
    <r>
      <rPr>
        <sz val="14"/>
        <color indexed="8"/>
        <rFont val="Arial Black"/>
        <family val="2"/>
        <charset val="204"/>
      </rPr>
      <t xml:space="preserve"> </t>
    </r>
    <r>
      <rPr>
        <sz val="14"/>
        <color indexed="8"/>
        <rFont val="Freestyle Script"/>
        <family val="4"/>
      </rPr>
      <t> </t>
    </r>
  </si>
</sst>
</file>

<file path=xl/styles.xml><?xml version="1.0" encoding="utf-8"?>
<styleSheet xmlns="http://schemas.openxmlformats.org/spreadsheetml/2006/main">
  <numFmts count="1">
    <numFmt numFmtId="164" formatCode="0;[Red]\&gt;0;&quot;комплект&quot;"/>
  </numFmts>
  <fonts count="48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9"/>
      <name val="Arial"/>
      <family val="2"/>
      <charset val="204"/>
    </font>
    <font>
      <b/>
      <sz val="10"/>
      <color indexed="12"/>
      <name val="Palatino Linotype"/>
      <family val="1"/>
      <charset val="1"/>
    </font>
    <font>
      <b/>
      <i/>
      <sz val="20"/>
      <color indexed="10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  <font>
      <b/>
      <i/>
      <sz val="11"/>
      <color rgb="FFFFC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theme="1"/>
      <name val="Impact"/>
      <family val="2"/>
      <charset val="204"/>
    </font>
    <font>
      <sz val="11"/>
      <color rgb="FFFFC000"/>
      <name val="Impact"/>
      <family val="2"/>
      <charset val="204"/>
    </font>
    <font>
      <sz val="11"/>
      <color rgb="FF00B050"/>
      <name val="Impact"/>
      <family val="2"/>
      <charset val="204"/>
    </font>
    <font>
      <sz val="11"/>
      <color rgb="FF7030A0"/>
      <name val="Impact"/>
      <family val="2"/>
      <charset val="204"/>
    </font>
    <font>
      <sz val="11"/>
      <name val="Calibri"/>
      <family val="2"/>
      <charset val="204"/>
      <scheme val="minor"/>
    </font>
    <font>
      <b/>
      <i/>
      <sz val="16"/>
      <color rgb="FFFFC000"/>
      <name val="Calibri"/>
      <family val="2"/>
      <charset val="204"/>
      <scheme val="minor"/>
    </font>
    <font>
      <b/>
      <i/>
      <sz val="10"/>
      <color theme="1"/>
      <name val="Rockwell Extra Bold"/>
      <family val="1"/>
    </font>
    <font>
      <sz val="20"/>
      <color theme="1"/>
      <name val="Freestyle Script"/>
      <family val="4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Rockwell Extra Bold"/>
      <family val="1"/>
    </font>
    <font>
      <b/>
      <i/>
      <sz val="22"/>
      <color theme="1"/>
      <name val="Rockwell Extra Bold"/>
      <family val="1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</font>
    <font>
      <b/>
      <sz val="11"/>
      <color rgb="FF00B0F0"/>
      <name val="Calibri"/>
      <family val="2"/>
      <charset val="204"/>
    </font>
    <font>
      <b/>
      <sz val="24"/>
      <color rgb="FFFF9933"/>
      <name val="Calibri"/>
      <family val="2"/>
      <charset val="204"/>
    </font>
    <font>
      <b/>
      <sz val="24"/>
      <color rgb="FFFF9933"/>
      <name val="Calibri"/>
      <family val="2"/>
      <charset val="204"/>
      <scheme val="minor"/>
    </font>
    <font>
      <b/>
      <sz val="11"/>
      <color rgb="FF92D050"/>
      <name val="Calibri"/>
      <family val="2"/>
      <charset val="204"/>
    </font>
    <font>
      <b/>
      <i/>
      <sz val="11"/>
      <color rgb="FF00B0F0"/>
      <name val="Calibri"/>
      <family val="2"/>
      <charset val="204"/>
    </font>
    <font>
      <b/>
      <i/>
      <sz val="11"/>
      <color rgb="FF92D050"/>
      <name val="Calibri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3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28"/>
      <name val="Calibri"/>
      <family val="2"/>
      <charset val="204"/>
    </font>
    <font>
      <sz val="11"/>
      <color theme="1"/>
      <name val="Monotype Corsiva"/>
      <family val="4"/>
      <charset val="204"/>
    </font>
    <font>
      <sz val="14"/>
      <color theme="1"/>
      <name val="Freestyle Script"/>
      <family val="4"/>
    </font>
    <font>
      <sz val="14"/>
      <color theme="1"/>
      <name val="Mistral"/>
      <family val="4"/>
      <charset val="204"/>
    </font>
    <font>
      <sz val="14"/>
      <color indexed="8"/>
      <name val="Mistral"/>
      <family val="4"/>
      <charset val="204"/>
    </font>
    <font>
      <sz val="14"/>
      <color indexed="8"/>
      <name val="Arial Black"/>
      <family val="2"/>
      <charset val="204"/>
    </font>
    <font>
      <sz val="14"/>
      <color indexed="8"/>
      <name val="Freestyle Script"/>
      <family val="4"/>
    </font>
  </fonts>
  <fills count="23">
    <fill>
      <patternFill patternType="none"/>
    </fill>
    <fill>
      <patternFill patternType="gray125"/>
    </fill>
    <fill>
      <patternFill patternType="solid">
        <fgColor indexed="39"/>
        <bgColor indexed="12"/>
      </patternFill>
    </fill>
    <fill>
      <patternFill patternType="solid">
        <fgColor indexed="24"/>
        <bgColor indexed="44"/>
      </patternFill>
    </fill>
    <fill>
      <patternFill patternType="solid">
        <fgColor indexed="43"/>
        <bgColor indexed="13"/>
      </patternFill>
    </fill>
    <fill>
      <patternFill patternType="solid">
        <fgColor indexed="11"/>
        <bgColor indexed="49"/>
      </patternFill>
    </fill>
    <fill>
      <patternFill patternType="solid">
        <fgColor indexed="40"/>
        <bgColor indexed="21"/>
      </patternFill>
    </fill>
    <fill>
      <patternFill patternType="solid">
        <fgColor indexed="12"/>
        <bgColor indexed="39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10" fillId="9" borderId="6" xfId="0" applyFont="1" applyFill="1" applyBorder="1"/>
    <xf numFmtId="0" fontId="5" fillId="10" borderId="10" xfId="0" applyFont="1" applyFill="1" applyBorder="1"/>
    <xf numFmtId="0" fontId="11" fillId="9" borderId="12" xfId="0" applyFont="1" applyFill="1" applyBorder="1"/>
    <xf numFmtId="0" fontId="9" fillId="9" borderId="13" xfId="0" applyFont="1" applyFill="1" applyBorder="1"/>
    <xf numFmtId="0" fontId="7" fillId="11" borderId="5" xfId="0" applyFont="1" applyFill="1" applyBorder="1"/>
    <xf numFmtId="0" fontId="7" fillId="11" borderId="14" xfId="0" applyFont="1" applyFill="1" applyBorder="1"/>
    <xf numFmtId="0" fontId="0" fillId="11" borderId="14" xfId="0" applyFill="1" applyBorder="1"/>
    <xf numFmtId="0" fontId="0" fillId="11" borderId="5" xfId="0" applyFill="1" applyBorder="1"/>
    <xf numFmtId="0" fontId="5" fillId="10" borderId="15" xfId="0" applyFont="1" applyFill="1" applyBorder="1"/>
    <xf numFmtId="0" fontId="0" fillId="10" borderId="15" xfId="0" applyFill="1" applyBorder="1"/>
    <xf numFmtId="0" fontId="0" fillId="10" borderId="10" xfId="0" applyFill="1" applyBorder="1"/>
    <xf numFmtId="0" fontId="6" fillId="9" borderId="16" xfId="0" applyFont="1" applyFill="1" applyBorder="1"/>
    <xf numFmtId="0" fontId="0" fillId="12" borderId="11" xfId="0" applyFill="1" applyBorder="1"/>
    <xf numFmtId="0" fontId="0" fillId="12" borderId="17" xfId="0" applyFill="1" applyBorder="1"/>
    <xf numFmtId="0" fontId="6" fillId="9" borderId="18" xfId="0" applyFont="1" applyFill="1" applyBorder="1"/>
    <xf numFmtId="0" fontId="0" fillId="9" borderId="18" xfId="0" applyFill="1" applyBorder="1"/>
    <xf numFmtId="0" fontId="0" fillId="9" borderId="11" xfId="0" applyFill="1" applyBorder="1"/>
    <xf numFmtId="0" fontId="12" fillId="0" borderId="0" xfId="0" applyFont="1"/>
    <xf numFmtId="0" fontId="0" fillId="0" borderId="1" xfId="0" applyBorder="1"/>
    <xf numFmtId="0" fontId="0" fillId="0" borderId="3" xfId="0" applyBorder="1"/>
    <xf numFmtId="0" fontId="0" fillId="9" borderId="19" xfId="0" applyFont="1" applyFill="1" applyBorder="1"/>
    <xf numFmtId="0" fontId="0" fillId="9" borderId="12" xfId="0" applyFont="1" applyFill="1" applyBorder="1"/>
    <xf numFmtId="0" fontId="0" fillId="9" borderId="8" xfId="0" applyFont="1" applyFill="1" applyBorder="1"/>
    <xf numFmtId="0" fontId="0" fillId="9" borderId="6" xfId="0" applyFont="1" applyFill="1" applyBorder="1"/>
    <xf numFmtId="0" fontId="0" fillId="9" borderId="13" xfId="0" applyFont="1" applyFill="1" applyBorder="1"/>
    <xf numFmtId="0" fontId="0" fillId="9" borderId="22" xfId="0" applyFont="1" applyFill="1" applyBorder="1"/>
    <xf numFmtId="0" fontId="0" fillId="9" borderId="9" xfId="0" applyFont="1" applyFill="1" applyBorder="1"/>
    <xf numFmtId="0" fontId="0" fillId="9" borderId="23" xfId="0" applyFont="1" applyFill="1" applyBorder="1"/>
    <xf numFmtId="0" fontId="0" fillId="13" borderId="24" xfId="0" applyFill="1" applyBorder="1"/>
    <xf numFmtId="0" fontId="13" fillId="12" borderId="17" xfId="0" applyFont="1" applyFill="1" applyBorder="1"/>
    <xf numFmtId="0" fontId="14" fillId="9" borderId="16" xfId="0" applyFont="1" applyFill="1" applyBorder="1"/>
    <xf numFmtId="0" fontId="15" fillId="10" borderId="10" xfId="0" applyFont="1" applyFill="1" applyBorder="1"/>
    <xf numFmtId="0" fontId="16" fillId="11" borderId="5" xfId="0" applyFont="1" applyFill="1" applyBorder="1"/>
    <xf numFmtId="0" fontId="0" fillId="13" borderId="1" xfId="0" applyFill="1" applyBorder="1"/>
    <xf numFmtId="0" fontId="0" fillId="14" borderId="0" xfId="0" applyFill="1"/>
    <xf numFmtId="0" fontId="17" fillId="9" borderId="18" xfId="0" applyFont="1" applyFill="1" applyBorder="1"/>
    <xf numFmtId="0" fontId="17" fillId="9" borderId="11" xfId="0" applyFont="1" applyFill="1" applyBorder="1"/>
    <xf numFmtId="0" fontId="0" fillId="0" borderId="20" xfId="0" applyBorder="1"/>
    <xf numFmtId="0" fontId="0" fillId="0" borderId="25" xfId="0" applyBorder="1"/>
    <xf numFmtId="0" fontId="0" fillId="0" borderId="21" xfId="0" applyBorder="1"/>
    <xf numFmtId="0" fontId="13" fillId="12" borderId="26" xfId="0" applyFont="1" applyFill="1" applyBorder="1"/>
    <xf numFmtId="0" fontId="0" fillId="9" borderId="29" xfId="0" applyFont="1" applyFill="1" applyBorder="1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17" fillId="9" borderId="18" xfId="0" applyFont="1" applyFill="1" applyBorder="1" applyProtection="1">
      <protection locked="0"/>
    </xf>
    <xf numFmtId="0" fontId="5" fillId="10" borderId="15" xfId="0" applyFont="1" applyFill="1" applyBorder="1" applyProtection="1">
      <protection locked="0"/>
    </xf>
    <xf numFmtId="0" fontId="7" fillId="11" borderId="14" xfId="0" applyFont="1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0" fillId="10" borderId="15" xfId="0" applyFill="1" applyBorder="1" applyProtection="1">
      <protection locked="0"/>
    </xf>
    <xf numFmtId="0" fontId="0" fillId="11" borderId="14" xfId="0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10" borderId="10" xfId="0" applyFill="1" applyBorder="1" applyProtection="1">
      <protection locked="0"/>
    </xf>
    <xf numFmtId="0" fontId="0" fillId="11" borderId="5" xfId="0" applyFill="1" applyBorder="1" applyProtection="1">
      <protection locked="0"/>
    </xf>
    <xf numFmtId="0" fontId="0" fillId="0" borderId="0" xfId="0"/>
    <xf numFmtId="0" fontId="0" fillId="0" borderId="3" xfId="0" applyBorder="1" applyAlignment="1"/>
    <xf numFmtId="0" fontId="0" fillId="0" borderId="4" xfId="0" applyBorder="1" applyAlignment="1"/>
    <xf numFmtId="0" fontId="0" fillId="9" borderId="19" xfId="0" applyFill="1" applyBorder="1"/>
    <xf numFmtId="0" fontId="0" fillId="9" borderId="12" xfId="0" applyFill="1" applyBorder="1"/>
    <xf numFmtId="0" fontId="0" fillId="9" borderId="40" xfId="0" applyFont="1" applyFill="1" applyBorder="1"/>
    <xf numFmtId="0" fontId="0" fillId="9" borderId="41" xfId="0" applyFont="1" applyFill="1" applyBorder="1"/>
    <xf numFmtId="0" fontId="0" fillId="9" borderId="42" xfId="0" applyFont="1" applyFill="1" applyBorder="1"/>
    <xf numFmtId="0" fontId="0" fillId="0" borderId="17" xfId="0" applyBorder="1" applyAlignment="1"/>
    <xf numFmtId="0" fontId="0" fillId="9" borderId="23" xfId="0" applyFill="1" applyBorder="1"/>
    <xf numFmtId="0" fontId="0" fillId="9" borderId="9" xfId="0" applyFill="1" applyBorder="1"/>
    <xf numFmtId="0" fontId="0" fillId="9" borderId="22" xfId="0" applyFill="1" applyBorder="1"/>
    <xf numFmtId="0" fontId="0" fillId="9" borderId="13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30" xfId="0" applyFill="1" applyBorder="1"/>
    <xf numFmtId="0" fontId="0" fillId="9" borderId="29" xfId="0" applyFill="1" applyBorder="1"/>
    <xf numFmtId="0" fontId="0" fillId="9" borderId="43" xfId="0" applyFont="1" applyFill="1" applyBorder="1"/>
    <xf numFmtId="0" fontId="0" fillId="0" borderId="0" xfId="0"/>
    <xf numFmtId="0" fontId="1" fillId="7" borderId="0" xfId="0" applyFont="1" applyFill="1" applyBorder="1" applyAlignment="1">
      <alignment horizontal="center"/>
    </xf>
    <xf numFmtId="0" fontId="0" fillId="0" borderId="0" xfId="0"/>
    <xf numFmtId="0" fontId="20" fillId="14" borderId="0" xfId="0" applyFont="1" applyFill="1" applyBorder="1" applyAlignment="1">
      <alignment horizontal="center"/>
    </xf>
    <xf numFmtId="0" fontId="0" fillId="0" borderId="8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19" xfId="0" applyBorder="1"/>
    <xf numFmtId="0" fontId="0" fillId="0" borderId="22" xfId="0" applyBorder="1"/>
    <xf numFmtId="0" fontId="0" fillId="0" borderId="9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3" fillId="0" borderId="0" xfId="0" applyFont="1" applyFill="1" applyBorder="1"/>
    <xf numFmtId="0" fontId="0" fillId="0" borderId="24" xfId="0" applyBorder="1"/>
    <xf numFmtId="164" fontId="3" fillId="6" borderId="5" xfId="0" applyNumberFormat="1" applyFont="1" applyFill="1" applyBorder="1" applyAlignment="1">
      <alignment horizontal="center"/>
    </xf>
    <xf numFmtId="0" fontId="0" fillId="14" borderId="0" xfId="0" applyFill="1" applyBorder="1"/>
    <xf numFmtId="0" fontId="0" fillId="0" borderId="0" xfId="0"/>
    <xf numFmtId="0" fontId="0" fillId="12" borderId="0" xfId="0" applyFill="1" applyBorder="1"/>
    <xf numFmtId="0" fontId="14" fillId="18" borderId="16" xfId="0" applyFont="1" applyFill="1" applyBorder="1"/>
    <xf numFmtId="0" fontId="15" fillId="18" borderId="10" xfId="0" applyFont="1" applyFill="1" applyBorder="1"/>
    <xf numFmtId="0" fontId="16" fillId="18" borderId="5" xfId="0" applyFont="1" applyFill="1" applyBorder="1"/>
    <xf numFmtId="0" fontId="29" fillId="14" borderId="0" xfId="0" applyFont="1" applyFill="1"/>
    <xf numFmtId="0" fontId="30" fillId="14" borderId="0" xfId="0" applyFont="1" applyFill="1"/>
    <xf numFmtId="0" fontId="33" fillId="14" borderId="0" xfId="0" applyFont="1" applyFill="1"/>
    <xf numFmtId="0" fontId="34" fillId="14" borderId="0" xfId="0" applyFont="1" applyFill="1"/>
    <xf numFmtId="0" fontId="35" fillId="14" borderId="0" xfId="0" applyFont="1" applyFill="1"/>
    <xf numFmtId="0" fontId="0" fillId="0" borderId="0" xfId="0"/>
    <xf numFmtId="0" fontId="36" fillId="0" borderId="46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7" fillId="0" borderId="55" xfId="0" applyFont="1" applyBorder="1"/>
    <xf numFmtId="0" fontId="38" fillId="0" borderId="55" xfId="0" applyFont="1" applyBorder="1"/>
    <xf numFmtId="0" fontId="0" fillId="0" borderId="22" xfId="0" applyBorder="1" applyAlignment="1">
      <alignment horizontal="center" vertical="center"/>
    </xf>
    <xf numFmtId="0" fontId="38" fillId="0" borderId="56" xfId="0" applyFont="1" applyBorder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22" borderId="14" xfId="0" applyFont="1" applyFill="1" applyBorder="1" applyAlignment="1" applyProtection="1"/>
    <xf numFmtId="0" fontId="22" fillId="22" borderId="14" xfId="0" applyFont="1" applyFill="1" applyBorder="1" applyAlignment="1" applyProtection="1"/>
    <xf numFmtId="0" fontId="0" fillId="14" borderId="0" xfId="0" applyFill="1" applyProtection="1">
      <protection locked="0"/>
    </xf>
    <xf numFmtId="0" fontId="42" fillId="18" borderId="18" xfId="0" applyFont="1" applyFill="1" applyBorder="1" applyProtection="1"/>
    <xf numFmtId="0" fontId="42" fillId="18" borderId="15" xfId="0" applyFont="1" applyFill="1" applyBorder="1" applyProtection="1"/>
    <xf numFmtId="0" fontId="42" fillId="18" borderId="14" xfId="0" applyFont="1" applyFill="1" applyBorder="1" applyProtection="1"/>
    <xf numFmtId="0" fontId="8" fillId="14" borderId="0" xfId="0" applyFont="1" applyFill="1" applyAlignment="1">
      <alignment horizontal="center"/>
    </xf>
    <xf numFmtId="0" fontId="4" fillId="8" borderId="26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27" fillId="15" borderId="1" xfId="0" applyFont="1" applyFill="1" applyBorder="1" applyAlignment="1" applyProtection="1">
      <alignment horizontal="center"/>
      <protection locked="0"/>
    </xf>
    <xf numFmtId="0" fontId="27" fillId="15" borderId="0" xfId="0" applyFont="1" applyFill="1" applyBorder="1" applyAlignment="1" applyProtection="1">
      <alignment horizontal="center"/>
      <protection locked="0"/>
    </xf>
    <xf numFmtId="0" fontId="27" fillId="15" borderId="2" xfId="0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6" fillId="17" borderId="37" xfId="0" applyFont="1" applyFill="1" applyBorder="1" applyAlignment="1">
      <alignment horizontal="center"/>
    </xf>
    <xf numFmtId="0" fontId="26" fillId="17" borderId="38" xfId="0" applyFont="1" applyFill="1" applyBorder="1" applyAlignment="1">
      <alignment horizontal="center"/>
    </xf>
    <xf numFmtId="0" fontId="26" fillId="17" borderId="39" xfId="0" applyFont="1" applyFill="1" applyBorder="1" applyAlignment="1">
      <alignment horizontal="center"/>
    </xf>
    <xf numFmtId="0" fontId="26" fillId="17" borderId="31" xfId="0" applyFont="1" applyFill="1" applyBorder="1" applyAlignment="1">
      <alignment horizontal="center"/>
    </xf>
    <xf numFmtId="0" fontId="26" fillId="0" borderId="0" xfId="0" applyFont="1" applyBorder="1"/>
    <xf numFmtId="0" fontId="26" fillId="0" borderId="32" xfId="0" applyFont="1" applyBorder="1"/>
    <xf numFmtId="0" fontId="23" fillId="17" borderId="31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23" fillId="17" borderId="32" xfId="0" applyFont="1" applyFill="1" applyBorder="1" applyAlignment="1">
      <alignment horizontal="center"/>
    </xf>
    <xf numFmtId="0" fontId="23" fillId="17" borderId="34" xfId="0" applyFont="1" applyFill="1" applyBorder="1" applyAlignment="1">
      <alignment horizontal="center"/>
    </xf>
    <xf numFmtId="0" fontId="23" fillId="17" borderId="35" xfId="0" applyFont="1" applyFill="1" applyBorder="1" applyAlignment="1">
      <alignment horizontal="center"/>
    </xf>
    <xf numFmtId="0" fontId="23" fillId="17" borderId="36" xfId="0" applyFont="1" applyFill="1" applyBorder="1" applyAlignment="1">
      <alignment horizontal="center"/>
    </xf>
    <xf numFmtId="0" fontId="22" fillId="21" borderId="17" xfId="0" applyFont="1" applyFill="1" applyBorder="1" applyAlignment="1" applyProtection="1">
      <alignment horizontal="center"/>
      <protection locked="0"/>
    </xf>
    <xf numFmtId="0" fontId="22" fillId="21" borderId="33" xfId="0" applyFont="1" applyFill="1" applyBorder="1" applyAlignment="1" applyProtection="1">
      <alignment horizontal="center"/>
      <protection locked="0"/>
    </xf>
    <xf numFmtId="0" fontId="8" fillId="21" borderId="17" xfId="0" applyFont="1" applyFill="1" applyBorder="1" applyAlignment="1" applyProtection="1">
      <alignment horizontal="center"/>
      <protection locked="0"/>
    </xf>
    <xf numFmtId="0" fontId="8" fillId="21" borderId="33" xfId="0" applyFont="1" applyFill="1" applyBorder="1" applyAlignment="1" applyProtection="1">
      <alignment horizontal="center"/>
      <protection locked="0"/>
    </xf>
    <xf numFmtId="0" fontId="0" fillId="14" borderId="4" xfId="0" applyFill="1" applyBorder="1" applyAlignment="1">
      <alignment horizontal="center"/>
    </xf>
    <xf numFmtId="0" fontId="21" fillId="19" borderId="26" xfId="0" applyFont="1" applyFill="1" applyBorder="1" applyAlignment="1" applyProtection="1">
      <alignment horizontal="center"/>
      <protection locked="0"/>
    </xf>
    <xf numFmtId="0" fontId="21" fillId="19" borderId="27" xfId="0" applyFont="1" applyFill="1" applyBorder="1" applyAlignment="1" applyProtection="1">
      <alignment horizontal="center"/>
      <protection locked="0"/>
    </xf>
    <xf numFmtId="0" fontId="21" fillId="19" borderId="3" xfId="0" applyFont="1" applyFill="1" applyBorder="1" applyAlignment="1" applyProtection="1">
      <alignment horizontal="center"/>
      <protection locked="0"/>
    </xf>
    <xf numFmtId="0" fontId="21" fillId="19" borderId="4" xfId="0" applyFont="1" applyFill="1" applyBorder="1" applyAlignment="1" applyProtection="1">
      <alignment horizontal="center"/>
      <protection locked="0"/>
    </xf>
    <xf numFmtId="0" fontId="0" fillId="19" borderId="28" xfId="0" applyFont="1" applyFill="1" applyBorder="1" applyAlignment="1" applyProtection="1">
      <alignment horizontal="center"/>
    </xf>
    <xf numFmtId="0" fontId="0" fillId="19" borderId="5" xfId="0" applyFont="1" applyFill="1" applyBorder="1" applyAlignment="1" applyProtection="1">
      <alignment horizontal="center"/>
    </xf>
    <xf numFmtId="0" fontId="25" fillId="16" borderId="26" xfId="0" applyFont="1" applyFill="1" applyBorder="1" applyAlignment="1">
      <alignment horizontal="center"/>
    </xf>
    <xf numFmtId="0" fontId="25" fillId="16" borderId="27" xfId="0" applyFont="1" applyFill="1" applyBorder="1" applyAlignment="1">
      <alignment horizontal="center"/>
    </xf>
    <xf numFmtId="0" fontId="25" fillId="16" borderId="28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/>
    </xf>
    <xf numFmtId="0" fontId="24" fillId="17" borderId="1" xfId="0" applyFont="1" applyFill="1" applyBorder="1" applyAlignment="1">
      <alignment horizontal="center"/>
    </xf>
    <xf numFmtId="0" fontId="24" fillId="17" borderId="0" xfId="0" applyFont="1" applyFill="1" applyBorder="1" applyAlignment="1">
      <alignment horizontal="center"/>
    </xf>
    <xf numFmtId="0" fontId="24" fillId="17" borderId="2" xfId="0" applyFont="1" applyFill="1" applyBorder="1" applyAlignment="1">
      <alignment horizontal="center"/>
    </xf>
    <xf numFmtId="0" fontId="0" fillId="19" borderId="27" xfId="0" applyFont="1" applyFill="1" applyBorder="1" applyAlignment="1" applyProtection="1">
      <alignment horizontal="center"/>
      <protection locked="0"/>
    </xf>
    <xf numFmtId="0" fontId="0" fillId="19" borderId="28" xfId="0" applyFont="1" applyFill="1" applyBorder="1" applyAlignment="1" applyProtection="1">
      <alignment horizontal="center"/>
      <protection locked="0"/>
    </xf>
    <xf numFmtId="0" fontId="0" fillId="19" borderId="3" xfId="0" applyFont="1" applyFill="1" applyBorder="1" applyAlignment="1" applyProtection="1">
      <alignment horizontal="center"/>
      <protection locked="0"/>
    </xf>
    <xf numFmtId="0" fontId="0" fillId="19" borderId="4" xfId="0" applyFont="1" applyFill="1" applyBorder="1" applyAlignment="1" applyProtection="1">
      <alignment horizontal="center"/>
      <protection locked="0"/>
    </xf>
    <xf numFmtId="0" fontId="0" fillId="19" borderId="5" xfId="0" applyFont="1" applyFill="1" applyBorder="1" applyAlignment="1" applyProtection="1">
      <alignment horizontal="center"/>
      <protection locked="0"/>
    </xf>
    <xf numFmtId="0" fontId="39" fillId="14" borderId="0" xfId="0" applyFont="1" applyFill="1" applyAlignment="1" applyProtection="1">
      <alignment horizontal="center"/>
      <protection locked="0"/>
    </xf>
    <xf numFmtId="0" fontId="1" fillId="7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1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43" fillId="14" borderId="0" xfId="0" applyFont="1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5" borderId="36" xfId="0" applyFill="1" applyBorder="1" applyAlignment="1">
      <alignment horizontal="center"/>
    </xf>
    <xf numFmtId="0" fontId="41" fillId="0" borderId="0" xfId="1" applyFont="1" applyFill="1" applyBorder="1" applyAlignment="1" applyProtection="1">
      <alignment horizontal="center"/>
    </xf>
    <xf numFmtId="0" fontId="8" fillId="20" borderId="17" xfId="0" applyFont="1" applyFill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14" xfId="0" applyBorder="1" applyProtection="1">
      <protection locked="0"/>
    </xf>
    <xf numFmtId="0" fontId="0" fillId="12" borderId="17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24" fillId="17" borderId="26" xfId="0" applyFont="1" applyFill="1" applyBorder="1" applyAlignment="1">
      <alignment horizontal="center" wrapText="1"/>
    </xf>
    <xf numFmtId="0" fontId="24" fillId="17" borderId="27" xfId="0" applyFont="1" applyFill="1" applyBorder="1" applyAlignment="1">
      <alignment horizontal="center" wrapText="1"/>
    </xf>
    <xf numFmtId="0" fontId="24" fillId="17" borderId="28" xfId="0" applyFont="1" applyFill="1" applyBorder="1" applyAlignment="1">
      <alignment horizontal="center" wrapText="1"/>
    </xf>
    <xf numFmtId="0" fontId="22" fillId="15" borderId="31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2" fillId="15" borderId="32" xfId="0" applyFont="1" applyFill="1" applyBorder="1" applyAlignment="1">
      <alignment horizontal="center"/>
    </xf>
    <xf numFmtId="0" fontId="8" fillId="20" borderId="3" xfId="0" applyFont="1" applyFill="1" applyBorder="1" applyAlignment="1" applyProtection="1">
      <alignment horizontal="center"/>
      <protection locked="0"/>
    </xf>
    <xf numFmtId="0" fontId="8" fillId="20" borderId="4" xfId="0" applyFont="1" applyFill="1" applyBorder="1" applyAlignment="1" applyProtection="1">
      <alignment horizontal="center"/>
      <protection locked="0"/>
    </xf>
    <xf numFmtId="0" fontId="8" fillId="20" borderId="5" xfId="0" applyFont="1" applyFill="1" applyBorder="1" applyAlignment="1" applyProtection="1">
      <alignment horizontal="center"/>
      <protection locked="0"/>
    </xf>
    <xf numFmtId="0" fontId="22" fillId="21" borderId="14" xfId="0" applyFont="1" applyFill="1" applyBorder="1" applyAlignment="1" applyProtection="1">
      <alignment horizontal="center"/>
      <protection locked="0"/>
    </xf>
    <xf numFmtId="0" fontId="22" fillId="15" borderId="37" xfId="0" applyFont="1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31" xfId="0" applyBorder="1"/>
    <xf numFmtId="0" fontId="0" fillId="0" borderId="0" xfId="0"/>
    <xf numFmtId="0" fontId="0" fillId="0" borderId="32" xfId="0" applyBorder="1"/>
    <xf numFmtId="0" fontId="23" fillId="15" borderId="31" xfId="0" applyFont="1" applyFill="1" applyBorder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23" fillId="15" borderId="32" xfId="0" applyFont="1" applyFill="1" applyBorder="1" applyAlignment="1">
      <alignment horizontal="center"/>
    </xf>
    <xf numFmtId="0" fontId="31" fillId="14" borderId="53" xfId="0" applyFont="1" applyFill="1" applyBorder="1" applyAlignment="1">
      <alignment horizontal="center"/>
    </xf>
    <xf numFmtId="0" fontId="32" fillId="14" borderId="5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17" borderId="26" xfId="0" applyFont="1" applyFill="1" applyBorder="1" applyAlignment="1">
      <alignment horizontal="center"/>
    </xf>
    <xf numFmtId="0" fontId="19" fillId="17" borderId="27" xfId="0" applyFont="1" applyFill="1" applyBorder="1" applyAlignment="1">
      <alignment horizontal="center"/>
    </xf>
    <xf numFmtId="0" fontId="19" fillId="17" borderId="28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/>
    </xf>
    <xf numFmtId="0" fontId="21" fillId="15" borderId="27" xfId="0" applyFont="1" applyFill="1" applyBorder="1" applyAlignment="1">
      <alignment horizontal="center"/>
    </xf>
    <xf numFmtId="0" fontId="21" fillId="15" borderId="28" xfId="0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/>
    </xf>
    <xf numFmtId="0" fontId="21" fillId="15" borderId="0" xfId="0" applyFont="1" applyFill="1" applyBorder="1" applyAlignment="1">
      <alignment horizontal="center"/>
    </xf>
    <xf numFmtId="0" fontId="21" fillId="15" borderId="2" xfId="0" applyFont="1" applyFill="1" applyBorder="1" applyAlignment="1">
      <alignment horizontal="center"/>
    </xf>
    <xf numFmtId="0" fontId="19" fillId="17" borderId="17" xfId="0" applyFont="1" applyFill="1" applyBorder="1" applyAlignment="1">
      <alignment horizontal="center"/>
    </xf>
    <xf numFmtId="0" fontId="19" fillId="17" borderId="33" xfId="0" applyFont="1" applyFill="1" applyBorder="1" applyAlignment="1">
      <alignment horizontal="center"/>
    </xf>
    <xf numFmtId="0" fontId="19" fillId="17" borderId="14" xfId="0" applyFont="1" applyFill="1" applyBorder="1" applyAlignment="1">
      <alignment horizontal="center"/>
    </xf>
    <xf numFmtId="0" fontId="0" fillId="15" borderId="27" xfId="0" applyFont="1" applyFill="1" applyBorder="1" applyAlignment="1">
      <alignment horizontal="center"/>
    </xf>
    <xf numFmtId="0" fontId="0" fillId="15" borderId="28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0" fillId="15" borderId="17" xfId="0" applyFill="1" applyBorder="1" applyAlignment="1" applyProtection="1">
      <alignment horizontal="center"/>
      <protection locked="0"/>
    </xf>
    <xf numFmtId="0" fontId="0" fillId="15" borderId="33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13" borderId="17" xfId="0" applyFill="1" applyBorder="1" applyAlignment="1" applyProtection="1">
      <alignment horizontal="center"/>
      <protection locked="0"/>
    </xf>
    <xf numFmtId="0" fontId="0" fillId="13" borderId="33" xfId="0" applyFill="1" applyBorder="1" applyAlignment="1" applyProtection="1">
      <alignment horizontal="center"/>
      <protection locked="0"/>
    </xf>
    <xf numFmtId="0" fontId="0" fillId="13" borderId="14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18" fillId="9" borderId="26" xfId="0" applyNumberFormat="1" applyFont="1" applyFill="1" applyBorder="1" applyAlignment="1">
      <alignment horizontal="center"/>
    </xf>
    <xf numFmtId="49" fontId="18" fillId="9" borderId="27" xfId="0" applyNumberFormat="1" applyFont="1" applyFill="1" applyBorder="1" applyAlignment="1">
      <alignment horizontal="center"/>
    </xf>
    <xf numFmtId="49" fontId="18" fillId="9" borderId="28" xfId="0" applyNumberFormat="1" applyFont="1" applyFill="1" applyBorder="1" applyAlignment="1">
      <alignment horizontal="center"/>
    </xf>
    <xf numFmtId="0" fontId="18" fillId="9" borderId="26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9" borderId="28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  <xf numFmtId="0" fontId="39" fillId="1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9933"/>
      <color rgb="FFFFFFCC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3k.mail.ru/user_info.php?nick=__&#1093;&#1086;&#1084;&#1103;&#1082;__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13" Type="http://schemas.openxmlformats.org/officeDocument/2006/relationships/image" Target="../media/image34.png"/><Relationship Id="rId18" Type="http://schemas.openxmlformats.org/officeDocument/2006/relationships/image" Target="../media/image39.png"/><Relationship Id="rId26" Type="http://schemas.openxmlformats.org/officeDocument/2006/relationships/image" Target="../media/image47.png"/><Relationship Id="rId3" Type="http://schemas.openxmlformats.org/officeDocument/2006/relationships/image" Target="../media/image24.png"/><Relationship Id="rId21" Type="http://schemas.openxmlformats.org/officeDocument/2006/relationships/image" Target="../media/image42.png"/><Relationship Id="rId34" Type="http://schemas.openxmlformats.org/officeDocument/2006/relationships/image" Target="../media/image55.png"/><Relationship Id="rId7" Type="http://schemas.openxmlformats.org/officeDocument/2006/relationships/image" Target="../media/image28.png"/><Relationship Id="rId12" Type="http://schemas.openxmlformats.org/officeDocument/2006/relationships/image" Target="../media/image33.png"/><Relationship Id="rId17" Type="http://schemas.openxmlformats.org/officeDocument/2006/relationships/image" Target="../media/image38.png"/><Relationship Id="rId25" Type="http://schemas.openxmlformats.org/officeDocument/2006/relationships/image" Target="../media/image46.png"/><Relationship Id="rId33" Type="http://schemas.openxmlformats.org/officeDocument/2006/relationships/image" Target="../media/image54.png"/><Relationship Id="rId2" Type="http://schemas.openxmlformats.org/officeDocument/2006/relationships/image" Target="../media/image23.jpeg"/><Relationship Id="rId16" Type="http://schemas.openxmlformats.org/officeDocument/2006/relationships/image" Target="../media/image37.png"/><Relationship Id="rId20" Type="http://schemas.openxmlformats.org/officeDocument/2006/relationships/image" Target="../media/image41.png"/><Relationship Id="rId29" Type="http://schemas.openxmlformats.org/officeDocument/2006/relationships/image" Target="../media/image50.png"/><Relationship Id="rId1" Type="http://schemas.openxmlformats.org/officeDocument/2006/relationships/image" Target="../media/image22.png"/><Relationship Id="rId6" Type="http://schemas.openxmlformats.org/officeDocument/2006/relationships/image" Target="../media/image27.png"/><Relationship Id="rId11" Type="http://schemas.openxmlformats.org/officeDocument/2006/relationships/image" Target="../media/image32.png"/><Relationship Id="rId24" Type="http://schemas.openxmlformats.org/officeDocument/2006/relationships/image" Target="../media/image45.png"/><Relationship Id="rId32" Type="http://schemas.openxmlformats.org/officeDocument/2006/relationships/image" Target="../media/image53.png"/><Relationship Id="rId5" Type="http://schemas.openxmlformats.org/officeDocument/2006/relationships/image" Target="../media/image26.png"/><Relationship Id="rId15" Type="http://schemas.openxmlformats.org/officeDocument/2006/relationships/image" Target="../media/image36.jpeg"/><Relationship Id="rId23" Type="http://schemas.openxmlformats.org/officeDocument/2006/relationships/image" Target="../media/image44.png"/><Relationship Id="rId28" Type="http://schemas.openxmlformats.org/officeDocument/2006/relationships/image" Target="../media/image49.png"/><Relationship Id="rId10" Type="http://schemas.openxmlformats.org/officeDocument/2006/relationships/image" Target="../media/image31.png"/><Relationship Id="rId19" Type="http://schemas.openxmlformats.org/officeDocument/2006/relationships/image" Target="../media/image40.png"/><Relationship Id="rId31" Type="http://schemas.openxmlformats.org/officeDocument/2006/relationships/image" Target="../media/image52.png"/><Relationship Id="rId4" Type="http://schemas.openxmlformats.org/officeDocument/2006/relationships/image" Target="../media/image25.png"/><Relationship Id="rId9" Type="http://schemas.openxmlformats.org/officeDocument/2006/relationships/image" Target="../media/image30.png"/><Relationship Id="rId14" Type="http://schemas.openxmlformats.org/officeDocument/2006/relationships/image" Target="../media/image35.jpeg"/><Relationship Id="rId22" Type="http://schemas.openxmlformats.org/officeDocument/2006/relationships/image" Target="../media/image43.png"/><Relationship Id="rId27" Type="http://schemas.openxmlformats.org/officeDocument/2006/relationships/image" Target="../media/image48.png"/><Relationship Id="rId30" Type="http://schemas.openxmlformats.org/officeDocument/2006/relationships/image" Target="../media/image51.png"/><Relationship Id="rId35" Type="http://schemas.openxmlformats.org/officeDocument/2006/relationships/image" Target="../media/image56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8.emf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12" Type="http://schemas.openxmlformats.org/officeDocument/2006/relationships/image" Target="../media/image17.emf"/><Relationship Id="rId2" Type="http://schemas.openxmlformats.org/officeDocument/2006/relationships/image" Target="../media/image7.png"/><Relationship Id="rId16" Type="http://schemas.openxmlformats.org/officeDocument/2006/relationships/image" Target="../media/image21.emf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11" Type="http://schemas.openxmlformats.org/officeDocument/2006/relationships/image" Target="../media/image16.emf"/><Relationship Id="rId5" Type="http://schemas.openxmlformats.org/officeDocument/2006/relationships/image" Target="../media/image10.png"/><Relationship Id="rId15" Type="http://schemas.openxmlformats.org/officeDocument/2006/relationships/image" Target="../media/image20.emf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png"/><Relationship Id="rId14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70183</xdr:colOff>
      <xdr:row>30</xdr:row>
      <xdr:rowOff>160419</xdr:rowOff>
    </xdr:from>
    <xdr:to>
      <xdr:col>9</xdr:col>
      <xdr:colOff>556364</xdr:colOff>
      <xdr:row>33</xdr:row>
      <xdr:rowOff>9021</xdr:rowOff>
    </xdr:to>
    <xdr:pic>
      <xdr:nvPicPr>
        <xdr:cNvPr id="2" name="Рисунок 1" descr="1290157152_1-11_cr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57472" y="6537156"/>
          <a:ext cx="486181" cy="515352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39</xdr:row>
      <xdr:rowOff>0</xdr:rowOff>
    </xdr:from>
    <xdr:to>
      <xdr:col>11</xdr:col>
      <xdr:colOff>457200</xdr:colOff>
      <xdr:row>55</xdr:row>
      <xdr:rowOff>161925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0" y="571500"/>
          <a:ext cx="3695700" cy="3200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9525</xdr:colOff>
      <xdr:row>39</xdr:row>
      <xdr:rowOff>0</xdr:rowOff>
    </xdr:from>
    <xdr:to>
      <xdr:col>18</xdr:col>
      <xdr:colOff>352425</xdr:colOff>
      <xdr:row>55</xdr:row>
      <xdr:rowOff>180975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34325" y="571500"/>
          <a:ext cx="3686175" cy="3219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10</xdr:col>
      <xdr:colOff>152400</xdr:colOff>
      <xdr:row>76</xdr:row>
      <xdr:rowOff>95250</xdr:rowOff>
    </xdr:to>
    <xdr:pic>
      <xdr:nvPicPr>
        <xdr:cNvPr id="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4000500"/>
          <a:ext cx="6429375" cy="3714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5</xdr:col>
      <xdr:colOff>238125</xdr:colOff>
      <xdr:row>56</xdr:row>
      <xdr:rowOff>0</xdr:rowOff>
    </xdr:to>
    <xdr:pic>
      <xdr:nvPicPr>
        <xdr:cNvPr id="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571500"/>
          <a:ext cx="3076575" cy="3228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3</xdr:row>
      <xdr:rowOff>0</xdr:rowOff>
    </xdr:from>
    <xdr:to>
      <xdr:col>12</xdr:col>
      <xdr:colOff>0</xdr:colOff>
      <xdr:row>19</xdr:row>
      <xdr:rowOff>152400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571500"/>
          <a:ext cx="3695700" cy="3200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9525</xdr:colOff>
      <xdr:row>3</xdr:row>
      <xdr:rowOff>0</xdr:rowOff>
    </xdr:from>
    <xdr:to>
      <xdr:col>19</xdr:col>
      <xdr:colOff>38100</xdr:colOff>
      <xdr:row>19</xdr:row>
      <xdr:rowOff>171450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4325" y="571500"/>
          <a:ext cx="3686175" cy="3219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10</xdr:col>
      <xdr:colOff>333375</xdr:colOff>
      <xdr:row>40</xdr:row>
      <xdr:rowOff>95250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4000500"/>
          <a:ext cx="6429375" cy="3714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5</xdr:col>
      <xdr:colOff>28575</xdr:colOff>
      <xdr:row>19</xdr:row>
      <xdr:rowOff>180975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71500"/>
          <a:ext cx="3076575" cy="3228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304800</xdr:rowOff>
    </xdr:from>
    <xdr:to>
      <xdr:col>1</xdr:col>
      <xdr:colOff>571500</xdr:colOff>
      <xdr:row>1</xdr:row>
      <xdr:rowOff>304800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2100" y="466725"/>
          <a:ext cx="457200" cy="361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114300</xdr:colOff>
      <xdr:row>1</xdr:row>
      <xdr:rowOff>304800</xdr:rowOff>
    </xdr:from>
    <xdr:to>
      <xdr:col>5</xdr:col>
      <xdr:colOff>571500</xdr:colOff>
      <xdr:row>1</xdr:row>
      <xdr:rowOff>304800</xdr:rowOff>
    </xdr:to>
    <xdr:pic>
      <xdr:nvPicPr>
        <xdr:cNvPr id="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71500"/>
          <a:ext cx="457200" cy="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114300</xdr:colOff>
      <xdr:row>1</xdr:row>
      <xdr:rowOff>304800</xdr:rowOff>
    </xdr:from>
    <xdr:to>
      <xdr:col>9</xdr:col>
      <xdr:colOff>571500</xdr:colOff>
      <xdr:row>1</xdr:row>
      <xdr:rowOff>304800</xdr:rowOff>
    </xdr:to>
    <xdr:pic>
      <xdr:nvPicPr>
        <xdr:cNvPr id="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71500"/>
          <a:ext cx="457200" cy="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571500</xdr:colOff>
      <xdr:row>2</xdr:row>
      <xdr:rowOff>542925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828675"/>
          <a:ext cx="571500" cy="542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600075</xdr:colOff>
      <xdr:row>1</xdr:row>
      <xdr:rowOff>542925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29025" y="266700"/>
          <a:ext cx="600075" cy="542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590550</xdr:colOff>
      <xdr:row>3</xdr:row>
      <xdr:rowOff>581025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29025" y="1381125"/>
          <a:ext cx="59055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581025</xdr:colOff>
      <xdr:row>4</xdr:row>
      <xdr:rowOff>571500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29025" y="1971675"/>
          <a:ext cx="58102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561975</xdr:colOff>
      <xdr:row>5</xdr:row>
      <xdr:rowOff>561975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29025" y="2552700"/>
          <a:ext cx="56197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581025</xdr:colOff>
      <xdr:row>2</xdr:row>
      <xdr:rowOff>0</xdr:rowOff>
    </xdr:to>
    <xdr:pic>
      <xdr:nvPicPr>
        <xdr:cNvPr id="20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67425" y="266700"/>
          <a:ext cx="58102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1</xdr:colOff>
      <xdr:row>2</xdr:row>
      <xdr:rowOff>1</xdr:rowOff>
    </xdr:from>
    <xdr:to>
      <xdr:col>9</xdr:col>
      <xdr:colOff>544135</xdr:colOff>
      <xdr:row>3</xdr:row>
      <xdr:rowOff>9525</xdr:rowOff>
    </xdr:to>
    <xdr:pic>
      <xdr:nvPicPr>
        <xdr:cNvPr id="206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67426" y="828676"/>
          <a:ext cx="544134" cy="5619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581025</xdr:colOff>
      <xdr:row>3</xdr:row>
      <xdr:rowOff>561975</xdr:rowOff>
    </xdr:to>
    <xdr:pic>
      <xdr:nvPicPr>
        <xdr:cNvPr id="20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67425" y="1381125"/>
          <a:ext cx="58102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590550</xdr:colOff>
      <xdr:row>5</xdr:row>
      <xdr:rowOff>0</xdr:rowOff>
    </xdr:to>
    <xdr:pic>
      <xdr:nvPicPr>
        <xdr:cNvPr id="206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67425" y="1971675"/>
          <a:ext cx="59055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581025</xdr:colOff>
      <xdr:row>6</xdr:row>
      <xdr:rowOff>19050</xdr:rowOff>
    </xdr:to>
    <xdr:pic>
      <xdr:nvPicPr>
        <xdr:cNvPr id="20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67425" y="2552700"/>
          <a:ext cx="581025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1190624</xdr:colOff>
      <xdr:row>5</xdr:row>
      <xdr:rowOff>0</xdr:rowOff>
    </xdr:from>
    <xdr:to>
      <xdr:col>1</xdr:col>
      <xdr:colOff>600074</xdr:colOff>
      <xdr:row>6</xdr:row>
      <xdr:rowOff>0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90624" y="2552700"/>
          <a:ext cx="60007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590550</xdr:colOff>
      <xdr:row>7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90625" y="3124200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590550</xdr:colOff>
      <xdr:row>7</xdr:row>
      <xdr:rowOff>0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629025" y="3124200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590550</xdr:colOff>
      <xdr:row>7</xdr:row>
      <xdr:rowOff>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067425" y="3124200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542925</xdr:colOff>
      <xdr:row>1</xdr:row>
      <xdr:rowOff>542925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725025" y="266700"/>
          <a:ext cx="542925" cy="542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19050</xdr:colOff>
      <xdr:row>3</xdr:row>
      <xdr:rowOff>9525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725025" y="828675"/>
          <a:ext cx="57150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16</xdr:col>
      <xdr:colOff>28575</xdr:colOff>
      <xdr:row>4</xdr:row>
      <xdr:rowOff>9525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725025" y="1381125"/>
          <a:ext cx="581025" cy="60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581025</xdr:colOff>
      <xdr:row>2</xdr:row>
      <xdr:rowOff>0</xdr:rowOff>
    </xdr:to>
    <xdr:pic>
      <xdr:nvPicPr>
        <xdr:cNvPr id="2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0225" y="266700"/>
          <a:ext cx="58102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544134</xdr:colOff>
      <xdr:row>3</xdr:row>
      <xdr:rowOff>9524</xdr:rowOff>
    </xdr:to>
    <xdr:pic>
      <xdr:nvPicPr>
        <xdr:cNvPr id="2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0225" y="828675"/>
          <a:ext cx="544134" cy="5619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581025</xdr:colOff>
      <xdr:row>3</xdr:row>
      <xdr:rowOff>561975</xdr:rowOff>
    </xdr:to>
    <xdr:pic>
      <xdr:nvPicPr>
        <xdr:cNvPr id="2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00225" y="1381125"/>
          <a:ext cx="58102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590550</xdr:colOff>
      <xdr:row>5</xdr:row>
      <xdr:rowOff>0</xdr:rowOff>
    </xdr:to>
    <xdr:pic>
      <xdr:nvPicPr>
        <xdr:cNvPr id="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00225" y="1971675"/>
          <a:ext cx="59055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581025</xdr:colOff>
      <xdr:row>6</xdr:row>
      <xdr:rowOff>19050</xdr:rowOff>
    </xdr:to>
    <xdr:pic>
      <xdr:nvPicPr>
        <xdr:cNvPr id="3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00225" y="2552700"/>
          <a:ext cx="581025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590550</xdr:colOff>
      <xdr:row>7</xdr:row>
      <xdr:rowOff>0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00225" y="3124200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600075</xdr:colOff>
      <xdr:row>1</xdr:row>
      <xdr:rowOff>542925</xdr:rowOff>
    </xdr:to>
    <xdr:pic>
      <xdr:nvPicPr>
        <xdr:cNvPr id="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9825" y="266700"/>
          <a:ext cx="600075" cy="542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571500</xdr:colOff>
      <xdr:row>2</xdr:row>
      <xdr:rowOff>542925</xdr:rowOff>
    </xdr:to>
    <xdr:pic>
      <xdr:nvPicPr>
        <xdr:cNvPr id="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9825" y="828675"/>
          <a:ext cx="571500" cy="542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590550</xdr:colOff>
      <xdr:row>3</xdr:row>
      <xdr:rowOff>581025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09825" y="1381125"/>
          <a:ext cx="59055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581025</xdr:colOff>
      <xdr:row>4</xdr:row>
      <xdr:rowOff>571500</xdr:rowOff>
    </xdr:to>
    <xdr:pic>
      <xdr:nvPicPr>
        <xdr:cNvPr id="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09825" y="1971675"/>
          <a:ext cx="58102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561975</xdr:colOff>
      <xdr:row>5</xdr:row>
      <xdr:rowOff>561975</xdr:rowOff>
    </xdr:to>
    <xdr:pic>
      <xdr:nvPicPr>
        <xdr:cNvPr id="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09825" y="2552700"/>
          <a:ext cx="561975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590550</xdr:colOff>
      <xdr:row>7</xdr:row>
      <xdr:rowOff>0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409825" y="3124200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600075</xdr:colOff>
      <xdr:row>7</xdr:row>
      <xdr:rowOff>561974</xdr:rowOff>
    </xdr:to>
    <xdr:pic>
      <xdr:nvPicPr>
        <xdr:cNvPr id="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90625" y="3695700"/>
          <a:ext cx="600075" cy="5619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590550</xdr:colOff>
      <xdr:row>10</xdr:row>
      <xdr:rowOff>9525</xdr:rowOff>
    </xdr:to>
    <xdr:pic>
      <xdr:nvPicPr>
        <xdr:cNvPr id="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90625" y="4829175"/>
          <a:ext cx="59055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581025</xdr:colOff>
      <xdr:row>2</xdr:row>
      <xdr:rowOff>9525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90625" y="266700"/>
          <a:ext cx="58102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571500</xdr:colOff>
      <xdr:row>3</xdr:row>
      <xdr:rowOff>9525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90625" y="828675"/>
          <a:ext cx="57150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3</xdr:row>
      <xdr:rowOff>571500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90625" y="1381125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561975</xdr:colOff>
      <xdr:row>4</xdr:row>
      <xdr:rowOff>571500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90625" y="1971675"/>
          <a:ext cx="56197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600075</xdr:colOff>
      <xdr:row>9</xdr:row>
      <xdr:rowOff>28575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90625" y="4257675"/>
          <a:ext cx="600075" cy="60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600075</xdr:colOff>
      <xdr:row>11</xdr:row>
      <xdr:rowOff>28575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90625" y="5400675"/>
          <a:ext cx="600075" cy="60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561975</xdr:colOff>
      <xdr:row>12</xdr:row>
      <xdr:rowOff>0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90625" y="5972175"/>
          <a:ext cx="561975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600075</xdr:colOff>
      <xdr:row>7</xdr:row>
      <xdr:rowOff>9525</xdr:rowOff>
    </xdr:from>
    <xdr:to>
      <xdr:col>2</xdr:col>
      <xdr:colOff>590550</xdr:colOff>
      <xdr:row>8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790700" y="3705225"/>
          <a:ext cx="600075" cy="552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590550</xdr:colOff>
      <xdr:row>13</xdr:row>
      <xdr:rowOff>9525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409825" y="6543675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590550</xdr:colOff>
      <xdr:row>13</xdr:row>
      <xdr:rowOff>9525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00225" y="6543675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590550</xdr:colOff>
      <xdr:row>13</xdr:row>
      <xdr:rowOff>9525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90625" y="6543675"/>
          <a:ext cx="590550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0</xdr:colOff>
      <xdr:row>9</xdr:row>
      <xdr:rowOff>9525</xdr:rowOff>
    </xdr:to>
    <xdr:pic>
      <xdr:nvPicPr>
        <xdr:cNvPr id="6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800225" y="4257675"/>
          <a:ext cx="60960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581025</xdr:colOff>
      <xdr:row>9</xdr:row>
      <xdr:rowOff>552450</xdr:rowOff>
    </xdr:to>
    <xdr:pic>
      <xdr:nvPicPr>
        <xdr:cNvPr id="6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800225" y="4829175"/>
          <a:ext cx="581025" cy="552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571500</xdr:colOff>
      <xdr:row>11</xdr:row>
      <xdr:rowOff>19050</xdr:rowOff>
    </xdr:to>
    <xdr:pic>
      <xdr:nvPicPr>
        <xdr:cNvPr id="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800225" y="5400675"/>
          <a:ext cx="571500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561975</xdr:colOff>
      <xdr:row>12</xdr:row>
      <xdr:rowOff>9525</xdr:rowOff>
    </xdr:to>
    <xdr:pic>
      <xdr:nvPicPr>
        <xdr:cNvPr id="6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800225" y="5972175"/>
          <a:ext cx="561975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600075</xdr:colOff>
      <xdr:row>7</xdr:row>
      <xdr:rowOff>542925</xdr:rowOff>
    </xdr:to>
    <xdr:pic>
      <xdr:nvPicPr>
        <xdr:cNvPr id="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2409825" y="3695700"/>
          <a:ext cx="600075" cy="542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571500</xdr:colOff>
      <xdr:row>8</xdr:row>
      <xdr:rowOff>561975</xdr:rowOff>
    </xdr:to>
    <xdr:pic>
      <xdr:nvPicPr>
        <xdr:cNvPr id="6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409825" y="4257675"/>
          <a:ext cx="57150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571500</xdr:colOff>
      <xdr:row>10</xdr:row>
      <xdr:rowOff>9525</xdr:rowOff>
    </xdr:to>
    <xdr:pic>
      <xdr:nvPicPr>
        <xdr:cNvPr id="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409825" y="4829175"/>
          <a:ext cx="571500" cy="581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581025</xdr:colOff>
      <xdr:row>11</xdr:row>
      <xdr:rowOff>19050</xdr:rowOff>
    </xdr:to>
    <xdr:pic>
      <xdr:nvPicPr>
        <xdr:cNvPr id="7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409825" y="5400675"/>
          <a:ext cx="581025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581025</xdr:colOff>
      <xdr:row>12</xdr:row>
      <xdr:rowOff>19050</xdr:rowOff>
    </xdr:to>
    <xdr:pic>
      <xdr:nvPicPr>
        <xdr:cNvPr id="7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409825" y="5972175"/>
          <a:ext cx="581025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AW170"/>
  <sheetViews>
    <sheetView tabSelected="1" workbookViewId="0">
      <selection activeCell="B10" sqref="B10"/>
    </sheetView>
  </sheetViews>
  <sheetFormatPr defaultRowHeight="15"/>
  <cols>
    <col min="1" max="1" width="12.85546875" customWidth="1"/>
    <col min="2" max="2" width="10.42578125" customWidth="1"/>
    <col min="3" max="3" width="10.5703125" customWidth="1"/>
    <col min="4" max="4" width="9.42578125" customWidth="1"/>
    <col min="5" max="5" width="8.42578125" customWidth="1"/>
    <col min="6" max="6" width="14.85546875" customWidth="1"/>
    <col min="7" max="7" width="11.42578125" customWidth="1"/>
    <col min="8" max="8" width="10.7109375" customWidth="1"/>
    <col min="9" max="9" width="10.140625" customWidth="1"/>
    <col min="10" max="10" width="9.85546875" customWidth="1"/>
    <col min="11" max="11" width="11.28515625" customWidth="1"/>
    <col min="12" max="12" width="10.140625" customWidth="1"/>
    <col min="13" max="14" width="9.7109375" customWidth="1"/>
    <col min="15" max="15" width="14.28515625" customWidth="1"/>
    <col min="16" max="16" width="11" customWidth="1"/>
    <col min="17" max="17" width="10.28515625" customWidth="1"/>
    <col min="18" max="18" width="10.140625" customWidth="1"/>
    <col min="19" max="19" width="10.5703125" customWidth="1"/>
    <col min="20" max="20" width="9.7109375" customWidth="1"/>
    <col min="21" max="21" width="9.85546875" customWidth="1"/>
    <col min="22" max="22" width="9.5703125" customWidth="1"/>
  </cols>
  <sheetData>
    <row r="1" spans="1:48" ht="25.5" customHeight="1" thickTop="1">
      <c r="A1" s="180" t="s">
        <v>0</v>
      </c>
      <c r="B1" s="181"/>
      <c r="C1" s="181"/>
      <c r="D1" s="182"/>
      <c r="E1" s="41"/>
      <c r="F1" s="148" t="s">
        <v>27</v>
      </c>
      <c r="G1" s="149"/>
      <c r="H1" s="149"/>
      <c r="I1" s="150"/>
      <c r="J1" s="41"/>
      <c r="K1" s="157" t="s">
        <v>74</v>
      </c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ht="21.75" customHeight="1">
      <c r="A2" s="183" t="s">
        <v>25</v>
      </c>
      <c r="B2" s="184"/>
      <c r="C2" s="184"/>
      <c r="D2" s="185"/>
      <c r="E2" s="41"/>
      <c r="F2" s="151" t="s">
        <v>76</v>
      </c>
      <c r="G2" s="152"/>
      <c r="H2" s="152"/>
      <c r="I2" s="153"/>
      <c r="J2" s="119"/>
      <c r="K2" s="160" t="s">
        <v>75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ht="16.5" thickBot="1">
      <c r="A3" s="19"/>
      <c r="B3" s="37" t="s">
        <v>3</v>
      </c>
      <c r="C3" s="38" t="s">
        <v>4</v>
      </c>
      <c r="D3" s="39" t="s">
        <v>5</v>
      </c>
      <c r="E3" s="41"/>
      <c r="F3" s="49"/>
      <c r="G3" s="50" t="s">
        <v>11</v>
      </c>
      <c r="H3" s="50" t="s">
        <v>28</v>
      </c>
      <c r="I3" s="51" t="s">
        <v>9</v>
      </c>
      <c r="J3" s="41"/>
      <c r="K3" s="163" t="s">
        <v>87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5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</row>
    <row r="4" spans="1:48" ht="17.25" thickBot="1">
      <c r="A4" s="36" t="s">
        <v>8</v>
      </c>
      <c r="B4" s="61"/>
      <c r="C4" s="62"/>
      <c r="D4" s="63"/>
      <c r="E4" s="41"/>
      <c r="F4" s="52" t="s">
        <v>6</v>
      </c>
      <c r="G4" s="53">
        <f>SUM(Лист4!Y4:AA4)</f>
        <v>110</v>
      </c>
      <c r="H4" s="54">
        <f>SUM(Лист4!AB4:AD4)</f>
        <v>110</v>
      </c>
      <c r="I4" s="55">
        <f>SUM(Лист4!AE4:AG4)</f>
        <v>110</v>
      </c>
      <c r="J4" s="41"/>
      <c r="K4" s="166" t="s">
        <v>88</v>
      </c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8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</row>
    <row r="5" spans="1:48" ht="21.75" thickBot="1">
      <c r="A5" s="36" t="s">
        <v>10</v>
      </c>
      <c r="B5" s="61"/>
      <c r="C5" s="62"/>
      <c r="D5" s="63"/>
      <c r="E5" s="41"/>
      <c r="F5" s="52" t="s">
        <v>29</v>
      </c>
      <c r="G5" s="53">
        <f>SUM(Лист4!Y6:AA7)</f>
        <v>90</v>
      </c>
      <c r="H5" s="54">
        <f>SUM(Лист4!AB6:AD7)</f>
        <v>90</v>
      </c>
      <c r="I5" s="55">
        <f>SUM(Лист4!AE6:AG7)</f>
        <v>90</v>
      </c>
      <c r="J5" s="41"/>
      <c r="K5" s="147" t="s">
        <v>20</v>
      </c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</row>
    <row r="6" spans="1:48" ht="17.25" thickBot="1">
      <c r="A6" s="36" t="s">
        <v>12</v>
      </c>
      <c r="B6" s="61"/>
      <c r="C6" s="62"/>
      <c r="D6" s="63"/>
      <c r="E6" s="41"/>
      <c r="F6" s="52" t="s">
        <v>32</v>
      </c>
      <c r="G6" s="53">
        <f>SUM(Лист4!Y9:AA11)</f>
        <v>110</v>
      </c>
      <c r="H6" s="54">
        <f>SUM(Лист4!AB9:AD11)</f>
        <v>110</v>
      </c>
      <c r="I6" s="55">
        <f>SUM(Лист4!AE9:AG11)</f>
        <v>110</v>
      </c>
      <c r="J6" s="41"/>
      <c r="K6" s="173" t="s">
        <v>22</v>
      </c>
      <c r="L6" s="173"/>
      <c r="M6" s="173"/>
      <c r="N6" s="173"/>
      <c r="O6" s="173" t="s">
        <v>23</v>
      </c>
      <c r="P6" s="173"/>
      <c r="Q6" s="173"/>
      <c r="R6" s="173"/>
      <c r="S6" s="173" t="s">
        <v>24</v>
      </c>
      <c r="T6" s="173"/>
      <c r="U6" s="173"/>
      <c r="V6" s="173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17.25" customHeight="1" thickBot="1">
      <c r="A7" s="36" t="s">
        <v>13</v>
      </c>
      <c r="B7" s="61"/>
      <c r="C7" s="62"/>
      <c r="D7" s="63"/>
      <c r="E7" s="41"/>
      <c r="F7" s="52" t="s">
        <v>31</v>
      </c>
      <c r="G7" s="53">
        <f>SUM(Лист4!Y13:AA15)</f>
        <v>120</v>
      </c>
      <c r="H7" s="54">
        <f>SUM(Лист4!AB13:AD15)</f>
        <v>120</v>
      </c>
      <c r="I7" s="55">
        <f>SUM(Лист4!AE13:AG15)</f>
        <v>120</v>
      </c>
      <c r="J7" s="198"/>
      <c r="K7" s="174" t="s">
        <v>33</v>
      </c>
      <c r="L7" s="175"/>
      <c r="M7" s="175"/>
      <c r="N7" s="178"/>
      <c r="O7" s="174" t="s">
        <v>29</v>
      </c>
      <c r="P7" s="175"/>
      <c r="Q7" s="175"/>
      <c r="R7" s="178"/>
      <c r="S7" s="174" t="s">
        <v>63</v>
      </c>
      <c r="T7" s="175"/>
      <c r="U7" s="175"/>
      <c r="V7" s="178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</row>
    <row r="8" spans="1:48" ht="17.25" thickBot="1">
      <c r="A8" s="36" t="s">
        <v>14</v>
      </c>
      <c r="B8" s="61"/>
      <c r="C8" s="62"/>
      <c r="D8" s="63"/>
      <c r="E8" s="41"/>
      <c r="F8" s="52" t="s">
        <v>33</v>
      </c>
      <c r="G8" s="53">
        <f>SUM(Лист4!Y17:AA19)</f>
        <v>180</v>
      </c>
      <c r="H8" s="54">
        <f>SUM(Лист4!AB17:AD19)</f>
        <v>180</v>
      </c>
      <c r="I8" s="55">
        <f>SUM(Лист4!AE17:AG19)</f>
        <v>180</v>
      </c>
      <c r="J8" s="199"/>
      <c r="K8" s="176"/>
      <c r="L8" s="177"/>
      <c r="M8" s="177"/>
      <c r="N8" s="179"/>
      <c r="O8" s="176"/>
      <c r="P8" s="177"/>
      <c r="Q8" s="177"/>
      <c r="R8" s="179"/>
      <c r="S8" s="176"/>
      <c r="T8" s="177"/>
      <c r="U8" s="177"/>
      <c r="V8" s="179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</row>
    <row r="9" spans="1:48" ht="21.75" thickBot="1">
      <c r="A9" s="36" t="s">
        <v>15</v>
      </c>
      <c r="B9" s="61"/>
      <c r="C9" s="62"/>
      <c r="D9" s="63"/>
      <c r="E9" s="41"/>
      <c r="F9" s="56"/>
      <c r="G9" s="195" t="s">
        <v>34</v>
      </c>
      <c r="H9" s="196"/>
      <c r="I9" s="197"/>
      <c r="J9" s="120"/>
      <c r="K9" s="208" t="s">
        <v>48</v>
      </c>
      <c r="L9" s="209"/>
      <c r="M9" s="209"/>
      <c r="N9" s="210"/>
      <c r="O9" s="208" t="s">
        <v>48</v>
      </c>
      <c r="P9" s="209"/>
      <c r="Q9" s="209"/>
      <c r="R9" s="210"/>
      <c r="S9" s="208" t="s">
        <v>48</v>
      </c>
      <c r="T9" s="209"/>
      <c r="U9" s="209"/>
      <c r="V9" s="210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</row>
    <row r="10" spans="1:48" ht="21.75" thickBot="1">
      <c r="A10" s="36" t="s">
        <v>16</v>
      </c>
      <c r="B10" s="61"/>
      <c r="C10" s="62"/>
      <c r="D10" s="63"/>
      <c r="E10" s="41"/>
      <c r="F10" s="56"/>
      <c r="G10" s="89" t="s">
        <v>35</v>
      </c>
      <c r="H10" s="89" t="s">
        <v>36</v>
      </c>
      <c r="I10" s="57" t="s">
        <v>37</v>
      </c>
      <c r="J10" s="121"/>
      <c r="K10" s="169" t="s">
        <v>9</v>
      </c>
      <c r="L10" s="170"/>
      <c r="M10" s="170"/>
      <c r="N10" s="142"/>
      <c r="O10" s="171" t="s">
        <v>26</v>
      </c>
      <c r="P10" s="172"/>
      <c r="Q10" s="172"/>
      <c r="R10" s="141"/>
      <c r="S10" s="171" t="s">
        <v>28</v>
      </c>
      <c r="T10" s="172"/>
      <c r="U10" s="172"/>
      <c r="V10" s="1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</row>
    <row r="11" spans="1:48" ht="17.25" thickBot="1">
      <c r="A11" s="36" t="s">
        <v>18</v>
      </c>
      <c r="B11" s="64"/>
      <c r="C11" s="65"/>
      <c r="D11" s="66"/>
      <c r="E11" s="41"/>
      <c r="F11" s="52" t="s">
        <v>6</v>
      </c>
      <c r="G11" s="53">
        <f>SUM(Лист4!Y21:AA23)</f>
        <v>160</v>
      </c>
      <c r="H11" s="54">
        <f>SUM(Лист4!AB21:AD23)</f>
        <v>160</v>
      </c>
      <c r="I11" s="55">
        <f>SUM(Лист4!AE21:AG23)</f>
        <v>160</v>
      </c>
      <c r="J11" s="41"/>
      <c r="K11" s="40" t="s">
        <v>65</v>
      </c>
      <c r="L11" s="9" t="s">
        <v>3</v>
      </c>
      <c r="M11" s="10" t="s">
        <v>4</v>
      </c>
      <c r="N11" s="7" t="s">
        <v>5</v>
      </c>
      <c r="O11" s="40" t="s">
        <v>65</v>
      </c>
      <c r="P11" s="9" t="s">
        <v>3</v>
      </c>
      <c r="Q11" s="10" t="s">
        <v>4</v>
      </c>
      <c r="R11" s="7" t="s">
        <v>5</v>
      </c>
      <c r="S11" s="40" t="s">
        <v>65</v>
      </c>
      <c r="T11" s="9" t="s">
        <v>3</v>
      </c>
      <c r="U11" s="10" t="s">
        <v>4</v>
      </c>
      <c r="V11" s="7" t="s">
        <v>5</v>
      </c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1:48" ht="17.25" thickBot="1">
      <c r="A12" s="36" t="s">
        <v>19</v>
      </c>
      <c r="B12" s="64"/>
      <c r="C12" s="65"/>
      <c r="D12" s="66"/>
      <c r="E12" s="41"/>
      <c r="F12" s="52" t="s">
        <v>29</v>
      </c>
      <c r="G12" s="53">
        <f>SUM(Лист4!Y25:AA27)</f>
        <v>85</v>
      </c>
      <c r="H12" s="54">
        <f>SUM(Лист4!AB25:AD27)</f>
        <v>85</v>
      </c>
      <c r="I12" s="55">
        <f>SUM(Лист4!AE25:AG27)</f>
        <v>85</v>
      </c>
      <c r="J12" s="41"/>
      <c r="K12" s="36" t="str">
        <f>IF(K9=Лист4!E61,Лист4!G71,IF(K9=Лист4!E62,Лист4!G72,"-"))</f>
        <v>сияния</v>
      </c>
      <c r="L12" s="27">
        <f>IF(K7=Лист4!E56,Лист4!J56,IF(K7=Лист4!E57,Лист4!O56,IF(K7=Лист4!E58,Лист4!T56,IF(K7=Лист4!E59,Лист4!Y56,IF(K7=Лист4!E60,Лист4!AD56,"-")))))</f>
        <v>4</v>
      </c>
      <c r="M12" s="27">
        <f>IF(K7=Лист4!E56,Лист4!J57,IF(K7=Лист4!E57,Лист4!O57,IF(K7=Лист4!E58,Лист4!T57,IF(K7=Лист4!E59,Лист4!Y57,IF(K7=Лист4!E60,Лист4!AD57,"-")))))</f>
        <v>4</v>
      </c>
      <c r="N12" s="75">
        <f>IF(K7=Лист4!E56,Лист4!J58,IF(K7=Лист4!E57,Лист4!O58,IF(K7=Лист4!E58,Лист4!T58,IF(K7=Лист4!E59,Лист4!Y58,IF(K7=Лист4!E60,Лист4!AD58,"-")))))</f>
        <v>12</v>
      </c>
      <c r="O12" s="36" t="str">
        <f>IF(O9=Лист4!E61,Лист4!G75,IF(O9=Лист4!E62,Лист4!G76,"-"))</f>
        <v>истока</v>
      </c>
      <c r="P12" s="27">
        <f>IF(O7=Лист4!E56,Лист4!J68,IF(O7=Лист4!E57,Лист4!O68,IF(O7=Лист4!E58,Лист4!T68,IF(O7=Лист4!E59,Лист4!Y68,IF(O7=Лист4!E60,Лист4!AD68,"-")))))</f>
        <v>12</v>
      </c>
      <c r="Q12" s="27">
        <f>IF(O7=Лист4!E56,Лист4!J69,IF(O7=Лист4!E57,Лист4!O69,IF(O7=Лист4!E58,Лист4!T69,IF(O7=Лист4!E59,Лист4!Y69,IF(O7=Лист4!E60,Лист4!AD69,"-")))))</f>
        <v>4</v>
      </c>
      <c r="R12" s="27">
        <f>IF(O7=Лист4!E56,Лист4!J70,IF(O7=Лист4!E57,Лист4!O70,IF(O7=Лист4!E58,Лист4!T70,IF(O7=Лист4!E59,Лист4!Y70,IF(O7=Лист4!E60,Лист4!AD70,"-")))))</f>
        <v>4</v>
      </c>
      <c r="S12" s="36" t="str">
        <f>IF(S9=Лист4!E61,Лист4!G79,IF(S9=Лист4!E62,Лист4!G80,"-"))</f>
        <v>-</v>
      </c>
      <c r="T12" s="27" t="str">
        <f>IF(S7=Лист4!E56,Лист4!J81,IF(S7=Лист4!E57,Лист4!O81,IF(S7=Лист4!E58,Лист4!T81,IF(S7=Лист4!E59,Лист4!Y81,IF(S7=Лист4!E60,Лист4!AD81,"-")))))</f>
        <v>-</v>
      </c>
      <c r="U12" s="27" t="str">
        <f>IF(S7=Лист4!E56,Лист4!J82,IF(S7=Лист4!E57,Лист4!O82,IF(S7=Лист4!E58,Лист4!T82,IF(S7=Лист4!E59,Лист4!Y82,IF(S7=Лист4!E60,Лист4!AD82,"-")))))</f>
        <v>-</v>
      </c>
      <c r="V12" s="75" t="str">
        <f>IF(S7=Лист4!E56,Лист4!J83,IF(S7=Лист4!E57,Лист4!O83,IF(S7=Лист4!E58,Лист4!T83,IF(S7=Лист4!E59,Лист4!Y83,IF(S7=Лист4!E60,Лист4!AD83,"-")))))</f>
        <v>-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ht="20.25" customHeight="1" thickBot="1">
      <c r="A13" s="36" t="s">
        <v>21</v>
      </c>
      <c r="B13" s="67"/>
      <c r="C13" s="68"/>
      <c r="D13" s="69"/>
      <c r="E13" s="41"/>
      <c r="F13" s="52" t="s">
        <v>32</v>
      </c>
      <c r="G13" s="53">
        <f>SUM(Лист4!Y29:AA31)</f>
        <v>45</v>
      </c>
      <c r="H13" s="54">
        <f>SUM(Лист4!AB29:AD31)</f>
        <v>45</v>
      </c>
      <c r="I13" s="55">
        <f>SUM(Лист4!AE29:AG31)</f>
        <v>45</v>
      </c>
      <c r="J13" s="41"/>
      <c r="K13" s="36" t="str">
        <f>IF(K9=Лист4!E61,Лист4!H71,IF(K9=Лист4!E62,Лист4!H72,"-"))</f>
        <v>знака</v>
      </c>
      <c r="L13" s="27">
        <f>IF(K7=Лист4!E56,Лист4!K56,IF(K7=Лист4!E57,Лист4!P56,IF(K7=Лист4!E58,Лист4!U56,IF(K7=Лист4!E59,Лист4!Z56,IF(K7=Лист4!E60,Лист4!AE56,"-")))))</f>
        <v>6</v>
      </c>
      <c r="M13" s="27">
        <f>IF(K7=Лист4!E56,Лист4!K57,IF(K7=Лист4!E57,Лист4!P57,IF(K7=Лист4!E58,Лист4!U57,IF(K7=Лист4!E59,Лист4!Z57,IF(K7=Лист4!E60,Лист4!AE57,"-")))))</f>
        <v>6</v>
      </c>
      <c r="N13" s="75">
        <f>IF(K7=Лист4!E56,Лист4!K58,IF(K7=Лист4!E57,Лист4!P58,IF(K7=Лист4!E58,Лист4!U58,IF(K7=Лист4!E59,Лист4!Z58,IF(K7=Лист4!E60,Лист4!AE58,"-")))))</f>
        <v>18</v>
      </c>
      <c r="O13" s="36" t="str">
        <f>IF(O9=Лист4!E61,Лист4!H75,IF(O9=Лист4!E62,Лист4!H76,"-"))</f>
        <v>звучания</v>
      </c>
      <c r="P13" s="27">
        <f>IF(O7=Лист4!E56,Лист4!K68,IF(O7=Лист4!E57,Лист4!P68,IF(O7=Лист4!E58,Лист4!U68,IF(O7=Лист4!E59,Лист4!Z68,IF(O7=Лист4!E60,Лист4!AE68,"-")))))</f>
        <v>15</v>
      </c>
      <c r="Q13" s="27">
        <f>IF(O7=Лист4!E56,Лист4!K69,IF(O7=Лист4!E57,Лист4!P69,IF(O7=Лист4!E58,Лист4!U69,IF(O7=Лист4!E59,Лист4!Z69,IF(O7=Лист4!E60,Лист4!AE69,"-")))))</f>
        <v>5</v>
      </c>
      <c r="R13" s="27">
        <f>IF(O7=Лист4!E56,Лист4!K70,IF(O7=Лист4!E57,Лист4!P70,IF(O7=Лист4!E58,Лист4!U70,IF(O7=Лист4!E59,Лист4!Z70,IF(O7=Лист4!E60,Лист4!AE70,"-")))))</f>
        <v>5</v>
      </c>
      <c r="S13" s="36" t="str">
        <f>IF(S9=Лист4!E61,Лист4!H79,IF(S9=Лист4!E62,Лист4!H80,"-"))</f>
        <v>-</v>
      </c>
      <c r="T13" s="27" t="str">
        <f>IF(S7=Лист4!E56,Лист4!K81,IF(S7=Лист4!E57,Лист4!P81,IF(S7=Лист4!E58,Лист4!U81,IF(S7=Лист4!E59,Лист4!Z81,IF(S7=Лист4!E60,Лист4!AE81,"-")))))</f>
        <v>-</v>
      </c>
      <c r="U13" s="27" t="str">
        <f>IF(S7=Лист4!E56,Лист4!K82,IF(S7=Лист4!E57,Лист4!P82,IF(S7=Лист4!E58,Лист4!U82,IF(S7=Лист4!E59,Лист4!Z82,IF(S7=Лист4!E60,Лист4!AE82,"-")))))</f>
        <v>-</v>
      </c>
      <c r="V13" s="75" t="str">
        <f>IF(S7=Лист4!E56,Лист4!K83,IF(S7=Лист4!E57,Лист4!P83,IF(S7=Лист4!E58,Лист4!U83,IF(S7=Лист4!E59,Лист4!Z83,IF(S7=Лист4!E60,Лист4!AE83,"-")))))</f>
        <v>-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ht="21" customHeight="1" thickBot="1">
      <c r="A14" s="41"/>
      <c r="B14" s="41"/>
      <c r="C14" s="41"/>
      <c r="D14" s="41"/>
      <c r="E14" s="41"/>
      <c r="F14" s="52" t="s">
        <v>31</v>
      </c>
      <c r="G14" s="53">
        <f>SUM(Лист4!Y33:AA35)</f>
        <v>45</v>
      </c>
      <c r="H14" s="54">
        <f>SUM(Лист4!AB33:AD35)</f>
        <v>45</v>
      </c>
      <c r="I14" s="55">
        <f>SUM(Лист4!AE33:AG35)</f>
        <v>45</v>
      </c>
      <c r="J14" s="41"/>
      <c r="K14" s="47" t="str">
        <f>IF(K9=Лист4!E61,Лист4!I71,IF(K9=Лист4!E62,Лист4!I72,"-"))</f>
        <v>основ</v>
      </c>
      <c r="L14" s="27">
        <f>IF(K7=Лист4!E56,Лист4!L56,IF(K7=Лист4!E57,Лист4!Q56,IF(K7=Лист4!E58,Лист4!V56,IF(K7=Лист4!E59,Лист4!AA56,IF(K7=Лист4!E60,Лист4!AF56,"-")))))</f>
        <v>8</v>
      </c>
      <c r="M14" s="27">
        <f>IF(K7=Лист4!E56,Лист4!L57,IF(K7=Лист4!E57,Лист4!Q57,IF(K7=Лист4!E58,Лист4!V57,IF(K7=Лист4!E59,Лист4!AA57,IF(K7=Лист4!E60,Лист4!AF57,"-")))))</f>
        <v>8</v>
      </c>
      <c r="N14" s="75">
        <f>IF(K7=Лист4!E56,Лист4!L58,IF(K7=Лист4!E57,Лист4!Q58,IF(K7=Лист4!E58,Лист4!V58,IF(K7=Лист4!E59,Лист4!AA58,IF(K7=Лист4!E60,Лист4!AF58,"-")))))</f>
        <v>24</v>
      </c>
      <c r="O14" s="47" t="str">
        <f>IF(O9=Лист4!E61,Лист4!I75,IF(O9=Лист4!E62,Лист4!I76,"-"))</f>
        <v>-</v>
      </c>
      <c r="P14" s="27" t="str">
        <f>IF(O7=Лист4!E56,Лист4!L68,IF(O7=Лист4!E57,Лист4!Q68,IF(O7=Лист4!E58,Лист4!V68,IF(O7=Лист4!E59,Лист4!AA68,IF(O7=Лист4!E60,Лист4!AF68,"-")))))</f>
        <v>комплект</v>
      </c>
      <c r="Q14" s="27" t="str">
        <f>IF(O7=Лист4!E56,Лист4!L69,IF(O7=Лист4!E57,Лист4!Q69,IF(O7=Лист4!E58,Лист4!V69,IF(O7=Лист4!E59,Лист4!AA69,IF(O7=Лист4!E60,Лист4!AF69,"-")))))</f>
        <v>комплект</v>
      </c>
      <c r="R14" s="27" t="str">
        <f>IF(O7=Лист4!E56,Лист4!L70,IF(O7=Лист4!E57,Лист4!Q70,IF(O7=Лист4!E58,Лист4!V70,IF(O7=Лист4!E59,Лист4!AA70,IF(O7=Лист4!E60,Лист4!AF70,"-")))))</f>
        <v>комплект</v>
      </c>
      <c r="S14" s="47" t="str">
        <f>IF(S9=Лист4!E61,Лист4!I79,IF(S9=Лист4!E62,Лист4!I80,"-"))</f>
        <v>-</v>
      </c>
      <c r="T14" s="27" t="str">
        <f>IF(S7=Лист4!E56,Лист4!L81,IF(S7=Лист4!E57,Лист4!Q81,IF(S7=Лист4!E58,Лист4!V81,IF(S7=Лист4!E59,Лист4!AA81,IF(S7=Лист4!E60,Лист4!AF81,"-")))))</f>
        <v>-</v>
      </c>
      <c r="U14" s="27" t="str">
        <f>IF(S7=Лист4!E56,Лист4!L82,IF(S7=Лист4!E57,Лист4!Q82,IF(S7=Лист4!E58,Лист4!V82,IF(S7=Лист4!E59,Лист4!AA82,IF(S7=Лист4!E60,Лист4!AF82,"-")))))</f>
        <v>-</v>
      </c>
      <c r="V14" s="75" t="str">
        <f>IF(S7=Лист4!E56,Лист4!L83,IF(S7=Лист4!E57,Лист4!Q83,IF(S7=Лист4!E58,Лист4!V83,IF(S7=Лист4!E59,Лист4!AA83,IF(S7=Лист4!E60,Лист4!AF83,"-")))))</f>
        <v>-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</row>
    <row r="15" spans="1:48" ht="16.5" customHeight="1" thickBot="1">
      <c r="A15" s="214" t="s">
        <v>81</v>
      </c>
      <c r="B15" s="215"/>
      <c r="C15" s="215"/>
      <c r="D15" s="216"/>
      <c r="E15" s="41"/>
      <c r="F15" s="58" t="s">
        <v>33</v>
      </c>
      <c r="G15" s="59">
        <f>SUM(Лист4!Y37:AA39)</f>
        <v>90</v>
      </c>
      <c r="H15" s="60">
        <f>SUM(Лист4!AB37:AD39)</f>
        <v>90</v>
      </c>
      <c r="I15" s="112">
        <f>SUM(Лист4!AE37:AG39)</f>
        <v>90</v>
      </c>
      <c r="J15" s="113"/>
      <c r="K15" s="211" t="s">
        <v>17</v>
      </c>
      <c r="L15" s="212"/>
      <c r="M15" s="213"/>
      <c r="N15" s="35">
        <f>SUM(L12:N14)</f>
        <v>90</v>
      </c>
      <c r="O15" s="211" t="s">
        <v>17</v>
      </c>
      <c r="P15" s="212"/>
      <c r="Q15" s="213"/>
      <c r="R15" s="35">
        <f>SUM(P12:R14)</f>
        <v>45</v>
      </c>
      <c r="S15" s="211" t="s">
        <v>17</v>
      </c>
      <c r="T15" s="212"/>
      <c r="U15" s="213"/>
      <c r="V15" s="35">
        <f>SUM(T12:V14)</f>
        <v>0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ht="15.75" customHeight="1">
      <c r="A16" s="186" t="s">
        <v>72</v>
      </c>
      <c r="B16" s="187"/>
      <c r="C16" s="187"/>
      <c r="D16" s="188"/>
      <c r="E16" s="41"/>
      <c r="F16" s="154" t="s">
        <v>30</v>
      </c>
      <c r="G16" s="154"/>
      <c r="H16" s="154"/>
      <c r="I16" s="154"/>
      <c r="J16" s="155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</row>
    <row r="17" spans="1:48" ht="15.75" customHeight="1" thickBot="1">
      <c r="A17" s="186" t="s">
        <v>73</v>
      </c>
      <c r="B17" s="187"/>
      <c r="C17" s="187"/>
      <c r="D17" s="188"/>
      <c r="E17" s="4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</row>
    <row r="18" spans="1:48" ht="19.5" customHeight="1" thickTop="1" thickBot="1">
      <c r="A18" s="186" t="s">
        <v>82</v>
      </c>
      <c r="B18" s="187"/>
      <c r="C18" s="187"/>
      <c r="D18" s="188"/>
      <c r="E18" s="41"/>
      <c r="F18" s="224" t="s">
        <v>78</v>
      </c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6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1:48" ht="15" customHeight="1">
      <c r="A19" s="174" t="s">
        <v>63</v>
      </c>
      <c r="B19" s="189"/>
      <c r="C19" s="189"/>
      <c r="D19" s="190"/>
      <c r="E19" s="233"/>
      <c r="F19" s="227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1:48" ht="16.5" customHeight="1" thickBot="1">
      <c r="A20" s="191"/>
      <c r="B20" s="192"/>
      <c r="C20" s="192"/>
      <c r="D20" s="193"/>
      <c r="E20" s="234"/>
      <c r="F20" s="201" t="s">
        <v>79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3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</row>
    <row r="21" spans="1:48" ht="21.75" thickBot="1">
      <c r="A21" s="220" t="s">
        <v>48</v>
      </c>
      <c r="B21" s="221"/>
      <c r="C21" s="221"/>
      <c r="D21" s="222"/>
      <c r="E21" s="122"/>
      <c r="F21" s="230" t="s">
        <v>62</v>
      </c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1:48" ht="19.5" thickBot="1">
      <c r="A22" s="169" t="s">
        <v>9</v>
      </c>
      <c r="B22" s="170"/>
      <c r="C22" s="170"/>
      <c r="D22" s="223"/>
      <c r="E22" s="123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3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</row>
    <row r="23" spans="1:48" ht="19.5" thickBot="1">
      <c r="A23" s="19"/>
      <c r="B23" s="116" t="s">
        <v>3</v>
      </c>
      <c r="C23" s="117" t="s">
        <v>4</v>
      </c>
      <c r="D23" s="118" t="s">
        <v>5</v>
      </c>
      <c r="E23" s="41"/>
      <c r="F23" s="217" t="s">
        <v>60</v>
      </c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9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</row>
    <row r="24" spans="1:48" ht="16.5" thickBot="1">
      <c r="A24" s="36" t="str">
        <f>IF(A21=Лист4!E61,Лист4!Y44,IF(A21=Лист4!E62,Лист4!AC44,"-"))</f>
        <v>-</v>
      </c>
      <c r="B24" s="144" t="str">
        <f>IF(A21=Лист4!E61,Лист4!Z44,IF(A21=Лист4!E62,Лист4!AD44,"-"))</f>
        <v>-</v>
      </c>
      <c r="C24" s="145" t="str">
        <f>IF(A21=Лист4!E61,Лист4!AA44,IF(A21=Лист4!E62,Лист4!AE44,"-"))</f>
        <v>-</v>
      </c>
      <c r="D24" s="146" t="str">
        <f>IF(A21=Лист4!E61,Лист4!AB44,IF(A21=Лист4!E62,Лист4!AF44,"-"))</f>
        <v>-</v>
      </c>
      <c r="E24" s="41"/>
      <c r="F24" s="201" t="s">
        <v>61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3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1:48" ht="16.5" thickBot="1">
      <c r="A25" s="36" t="str">
        <f>IF(A21=Лист4!E61,Лист4!Y45,IF(A21=Лист4!E62,Лист4!AC45,"-"))</f>
        <v>-</v>
      </c>
      <c r="B25" s="144" t="str">
        <f>IF(A21=Лист4!E61,Лист4!Z45,IF(A21=Лист4!E62,Лист4!AD45,"-"))</f>
        <v>-</v>
      </c>
      <c r="C25" s="145" t="str">
        <f>IF(A21=Лист4!E61,Лист4!AA45,IF(A21=Лист4!E62,Лист4!AE45,"-"))</f>
        <v>-</v>
      </c>
      <c r="D25" s="146" t="str">
        <f>IF(A21=Лист4!E61,Лист4!AB45,IF(A21=Лист4!E62,Лист4!AF45,"-"))</f>
        <v>-</v>
      </c>
      <c r="E25" s="41"/>
      <c r="F25" s="201" t="s">
        <v>80</v>
      </c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3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</row>
    <row r="26" spans="1:48" ht="15.75" customHeight="1" thickBot="1">
      <c r="A26" s="36" t="str">
        <f>IF(A21=Лист4!E61,Лист4!Y46,IF(A21=Лист4!E62,Лист4!AC46,"-"))</f>
        <v>-</v>
      </c>
      <c r="B26" s="144" t="str">
        <f>IF(A21=Лист4!E61,Лист4!Z46,IF(A21=Лист4!E62,Лист4!AD46,"-"))</f>
        <v>-</v>
      </c>
      <c r="C26" s="145" t="str">
        <f>IF(A21=Лист4!E61,Лист4!AA46,IF(A21=Лист4!E62,Лист4!AE46,"-"))</f>
        <v>-</v>
      </c>
      <c r="D26" s="146" t="str">
        <f>IF(A21=Лист4!E61,Лист4!AB46,IF(A21=Лист4!E62,Лист4!AF46,"-"))</f>
        <v>-</v>
      </c>
      <c r="E26" s="41"/>
      <c r="F26" s="201" t="s">
        <v>58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3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1:48" ht="15.75" customHeight="1" thickBot="1">
      <c r="A27" s="211" t="s">
        <v>17</v>
      </c>
      <c r="B27" s="212"/>
      <c r="C27" s="213"/>
      <c r="D27" s="35">
        <f>SUM(B24:D26)</f>
        <v>0</v>
      </c>
      <c r="E27" s="41"/>
      <c r="F27" s="204" t="s">
        <v>59</v>
      </c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6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1:4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</row>
    <row r="29" spans="1:48">
      <c r="A29" s="41"/>
      <c r="B29" s="41"/>
      <c r="C29" s="41"/>
      <c r="D29" s="41"/>
      <c r="E29" s="41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1:48">
      <c r="A30" s="41"/>
      <c r="B30" s="41"/>
      <c r="C30" s="41"/>
      <c r="D30" s="41"/>
      <c r="E30" s="41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</row>
    <row r="31" spans="1:48">
      <c r="A31" s="41"/>
      <c r="B31" s="41"/>
      <c r="C31" s="41"/>
      <c r="D31" s="41"/>
      <c r="E31" s="41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</row>
    <row r="32" spans="1:48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</row>
    <row r="33" spans="1:49" ht="22.5">
      <c r="A33" s="41"/>
      <c r="B33" s="41"/>
      <c r="C33" s="41"/>
      <c r="D33" s="41"/>
      <c r="E33" s="41"/>
      <c r="F33" s="41"/>
      <c r="G33" s="200" t="s">
        <v>100</v>
      </c>
      <c r="H33" s="200"/>
      <c r="I33" s="200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</row>
    <row r="34" spans="1:49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</row>
    <row r="35" spans="1:49" ht="21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91"/>
      <c r="L35" s="9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</row>
    <row r="36" spans="1:49" ht="21.75" customHeight="1">
      <c r="A36" s="41"/>
      <c r="B36" s="41"/>
      <c r="C36" s="41"/>
      <c r="D36" s="41"/>
      <c r="E36" s="41"/>
      <c r="G36" s="41"/>
      <c r="H36" s="41"/>
      <c r="I36" s="91"/>
      <c r="J36" s="91"/>
      <c r="K36" s="91"/>
      <c r="L36" s="9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</row>
    <row r="37" spans="1:49" ht="15" customHeight="1">
      <c r="A37" s="194" t="s">
        <v>97</v>
      </c>
      <c r="B37" s="194"/>
      <c r="C37" s="194"/>
      <c r="D37" s="194"/>
      <c r="E37" s="194"/>
      <c r="F37" s="143"/>
      <c r="G37" s="194" t="s">
        <v>98</v>
      </c>
      <c r="H37" s="194"/>
      <c r="I37" s="194"/>
      <c r="J37" s="194"/>
      <c r="K37" s="194"/>
      <c r="L37" s="194"/>
      <c r="M37" s="143"/>
      <c r="N37" s="194" t="s">
        <v>99</v>
      </c>
      <c r="O37" s="194"/>
      <c r="P37" s="194"/>
      <c r="Q37" s="194"/>
      <c r="R37" s="194"/>
      <c r="S37" s="194"/>
      <c r="T37" s="143"/>
      <c r="U37" s="143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</row>
    <row r="38" spans="1:49">
      <c r="A38" s="194"/>
      <c r="B38" s="194"/>
      <c r="C38" s="194"/>
      <c r="D38" s="194"/>
      <c r="E38" s="194"/>
      <c r="F38" s="143"/>
      <c r="G38" s="194"/>
      <c r="H38" s="194"/>
      <c r="I38" s="194"/>
      <c r="J38" s="194"/>
      <c r="K38" s="194"/>
      <c r="L38" s="194"/>
      <c r="M38" s="143"/>
      <c r="N38" s="194"/>
      <c r="O38" s="194"/>
      <c r="P38" s="194"/>
      <c r="Q38" s="194"/>
      <c r="R38" s="194"/>
      <c r="S38" s="194"/>
      <c r="T38" s="143"/>
      <c r="U38" s="143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1:49">
      <c r="A39" s="194"/>
      <c r="B39" s="194"/>
      <c r="C39" s="194"/>
      <c r="D39" s="194"/>
      <c r="E39" s="194"/>
      <c r="F39" s="143"/>
      <c r="G39" s="194"/>
      <c r="H39" s="194"/>
      <c r="I39" s="194"/>
      <c r="J39" s="194"/>
      <c r="K39" s="194"/>
      <c r="L39" s="194"/>
      <c r="M39" s="143"/>
      <c r="N39" s="194"/>
      <c r="O39" s="194"/>
      <c r="P39" s="194"/>
      <c r="Q39" s="194"/>
      <c r="R39" s="194"/>
      <c r="S39" s="194"/>
      <c r="T39" s="143"/>
      <c r="U39" s="143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1:49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1:49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1:49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1:49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</row>
    <row r="44" spans="1:49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</row>
    <row r="45" spans="1:49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</row>
    <row r="46" spans="1:49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</row>
    <row r="47" spans="1:49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</row>
    <row r="48" spans="1:49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</row>
    <row r="49" spans="1:49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</row>
    <row r="50" spans="1:49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</row>
    <row r="51" spans="1:49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</row>
    <row r="52" spans="1:49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</row>
    <row r="53" spans="1:49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</row>
    <row r="54" spans="1:49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</row>
    <row r="55" spans="1:49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</row>
    <row r="56" spans="1:49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</row>
    <row r="57" spans="1:49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1:49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</row>
    <row r="59" spans="1:49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</row>
    <row r="60" spans="1:49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</row>
    <row r="61" spans="1:49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</row>
    <row r="62" spans="1:49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</row>
    <row r="63" spans="1:49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</row>
    <row r="64" spans="1:49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</row>
    <row r="65" spans="1:49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</row>
    <row r="66" spans="1:49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</row>
    <row r="67" spans="1:49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</row>
    <row r="68" spans="1:49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</row>
    <row r="69" spans="1:49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</row>
    <row r="70" spans="1:49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</row>
    <row r="71" spans="1:49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</row>
    <row r="72" spans="1:49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</row>
    <row r="73" spans="1:49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</row>
    <row r="74" spans="1:49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</row>
    <row r="75" spans="1:49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</row>
    <row r="76" spans="1:49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</row>
    <row r="77" spans="1:49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</row>
    <row r="78" spans="1:49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</row>
    <row r="79" spans="1:49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</row>
    <row r="93" spans="1:49" ht="1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</row>
    <row r="94" spans="1:49" ht="15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</row>
    <row r="95" spans="1:49" ht="15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</row>
    <row r="96" spans="1:49" ht="1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</row>
    <row r="97" spans="1:49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</row>
    <row r="98" spans="1:49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</row>
    <row r="99" spans="1:49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</row>
    <row r="100" spans="1:49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</row>
    <row r="101" spans="1:49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</row>
    <row r="102" spans="1:49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</row>
    <row r="103" spans="1:49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</row>
    <row r="104" spans="1:49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</row>
    <row r="105" spans="1:49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</row>
    <row r="106" spans="1:49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</row>
    <row r="107" spans="1:49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</row>
    <row r="108" spans="1:49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</row>
    <row r="109" spans="1:49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</row>
    <row r="110" spans="1:49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</row>
    <row r="111" spans="1:49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</row>
    <row r="112" spans="1:49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</row>
    <row r="113" spans="1:49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</row>
    <row r="114" spans="1:49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</row>
    <row r="115" spans="1:49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</row>
    <row r="116" spans="1:49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</row>
    <row r="117" spans="1:49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</row>
    <row r="118" spans="1:49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</row>
    <row r="119" spans="1:49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</row>
    <row r="120" spans="1:49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</row>
    <row r="121" spans="1:49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</row>
    <row r="122" spans="1:49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</row>
    <row r="123" spans="1:49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</row>
    <row r="124" spans="1:49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</row>
    <row r="125" spans="1:49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</row>
    <row r="126" spans="1:49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</row>
    <row r="127" spans="1:49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</row>
    <row r="128" spans="1:49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</row>
    <row r="129" spans="1:49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</row>
    <row r="130" spans="1:49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</row>
    <row r="131" spans="1:49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</row>
    <row r="132" spans="1:49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</row>
    <row r="133" spans="1:49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</row>
    <row r="134" spans="1:49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</row>
    <row r="135" spans="1:49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</row>
    <row r="136" spans="1:49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</row>
    <row r="137" spans="1:49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</row>
    <row r="138" spans="1:49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</row>
    <row r="139" spans="1:49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</row>
    <row r="140" spans="1:49">
      <c r="A140" s="41"/>
      <c r="B140" s="41"/>
      <c r="C140" s="41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</row>
    <row r="141" spans="1:49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</row>
    <row r="142" spans="1:49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</row>
    <row r="143" spans="1:49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</row>
    <row r="144" spans="1:49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</row>
    <row r="145" spans="1:49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</row>
    <row r="146" spans="1:49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</row>
    <row r="147" spans="1:49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</row>
    <row r="148" spans="1:49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</row>
    <row r="149" spans="1:49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</row>
    <row r="150" spans="1:49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</row>
    <row r="151" spans="1:49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</row>
    <row r="152" spans="1:49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</row>
    <row r="153" spans="1:49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</row>
    <row r="154" spans="1:49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</row>
    <row r="155" spans="1:49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</row>
    <row r="156" spans="1:49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</row>
    <row r="157" spans="1:49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</row>
    <row r="158" spans="1:49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</row>
    <row r="159" spans="1:49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</row>
    <row r="160" spans="1:49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</row>
    <row r="161" spans="1:49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</row>
    <row r="162" spans="1:49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</row>
    <row r="163" spans="1:49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</row>
    <row r="164" spans="1:49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</row>
    <row r="165" spans="1:49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</row>
    <row r="166" spans="1:49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</row>
    <row r="167" spans="1:49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</row>
    <row r="168" spans="1:49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</row>
    <row r="169" spans="1:49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</row>
    <row r="170" spans="1:49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</row>
  </sheetData>
  <sheetProtection password="DF8C" sheet="1" objects="1" scenarios="1" selectLockedCells="1"/>
  <mergeCells count="53">
    <mergeCell ref="O9:R9"/>
    <mergeCell ref="S9:V9"/>
    <mergeCell ref="A27:C27"/>
    <mergeCell ref="F22:U22"/>
    <mergeCell ref="A15:D15"/>
    <mergeCell ref="F23:U23"/>
    <mergeCell ref="A18:D18"/>
    <mergeCell ref="A21:D21"/>
    <mergeCell ref="A22:D22"/>
    <mergeCell ref="F18:U19"/>
    <mergeCell ref="F20:U20"/>
    <mergeCell ref="F21:U21"/>
    <mergeCell ref="S15:U15"/>
    <mergeCell ref="K15:M15"/>
    <mergeCell ref="E19:E20"/>
    <mergeCell ref="O15:Q15"/>
    <mergeCell ref="A37:E39"/>
    <mergeCell ref="G37:L39"/>
    <mergeCell ref="N37:S39"/>
    <mergeCell ref="G9:I9"/>
    <mergeCell ref="J7:J8"/>
    <mergeCell ref="K7:M8"/>
    <mergeCell ref="N7:N8"/>
    <mergeCell ref="O7:Q8"/>
    <mergeCell ref="G33:I33"/>
    <mergeCell ref="F24:U24"/>
    <mergeCell ref="F25:U25"/>
    <mergeCell ref="F26:U26"/>
    <mergeCell ref="F27:U27"/>
    <mergeCell ref="F29:U31"/>
    <mergeCell ref="K9:N9"/>
    <mergeCell ref="R7:R8"/>
    <mergeCell ref="A1:D1"/>
    <mergeCell ref="A2:D2"/>
    <mergeCell ref="A16:D16"/>
    <mergeCell ref="A17:D17"/>
    <mergeCell ref="A19:D20"/>
    <mergeCell ref="K5:V5"/>
    <mergeCell ref="F1:I1"/>
    <mergeCell ref="F2:I2"/>
    <mergeCell ref="F16:U17"/>
    <mergeCell ref="K1:V1"/>
    <mergeCell ref="K2:V2"/>
    <mergeCell ref="K3:V3"/>
    <mergeCell ref="K4:V4"/>
    <mergeCell ref="K10:M10"/>
    <mergeCell ref="O10:Q10"/>
    <mergeCell ref="S10:U10"/>
    <mergeCell ref="K6:N6"/>
    <mergeCell ref="O6:R6"/>
    <mergeCell ref="S6:V6"/>
    <mergeCell ref="S7:U8"/>
    <mergeCell ref="V7:V8"/>
  </mergeCells>
  <conditionalFormatting sqref="K10 N10:O10 R10:S10 V10">
    <cfRule type="containsText" dxfId="4" priority="3" operator="containsText" text="дамагер">
      <formula>NOT(ISERROR(SEARCH("дамагер",K10)))</formula>
    </cfRule>
    <cfRule type="containsText" dxfId="3" priority="4" operator="containsText" text="танк">
      <formula>NOT(ISERROR(SEARCH("танк",K10)))</formula>
    </cfRule>
    <cfRule type="containsText" dxfId="2" priority="5" operator="containsText" text="маг">
      <formula>NOT(ISERROR(SEARCH("маг",K10)))</formula>
    </cfRule>
  </conditionalFormatting>
  <conditionalFormatting sqref="K9 O9:V9">
    <cfRule type="containsText" dxfId="1" priority="1" operator="containsText" text="великие">
      <formula>NOT(ISERROR(SEARCH("великие",K9)))</formula>
    </cfRule>
    <cfRule type="containsText" dxfId="0" priority="2" operator="containsText" text="маленькие">
      <formula>NOT(ISERROR(SEARCH("маленькие",K9)))</formula>
    </cfRule>
  </conditionalFormatting>
  <dataValidations count="4">
    <dataValidation type="list" allowBlank="1" showInputMessage="1" showErrorMessage="1" sqref="A19:D20 K7 O7 S7">
      <formula1>veshi</formula1>
    </dataValidation>
    <dataValidation type="list" allowBlank="1" showInputMessage="1" showErrorMessage="1" sqref="S10 A22 K10 O10">
      <formula1>класс</formula1>
    </dataValidation>
    <dataValidation type="list" allowBlank="1" showInputMessage="1" showErrorMessage="1" sqref="A21:D21 K9 O9:V9">
      <formula1>левл</formula1>
    </dataValidation>
    <dataValidation type="list" allowBlank="1" showInputMessage="1" showErrorMessage="1" sqref="F2:I2">
      <formula1>учитывать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2"/>
  <sheetViews>
    <sheetView workbookViewId="0">
      <selection activeCell="E14" sqref="E14"/>
    </sheetView>
  </sheetViews>
  <sheetFormatPr defaultRowHeight="15"/>
  <sheetData>
    <row r="1" ht="15.75" customHeight="1"/>
    <row r="2" ht="21" customHeight="1"/>
  </sheetData>
  <sheetProtection password="DF8C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E1:AY142"/>
  <sheetViews>
    <sheetView workbookViewId="0">
      <selection activeCell="F61" sqref="F61"/>
    </sheetView>
  </sheetViews>
  <sheetFormatPr defaultRowHeight="15"/>
  <sheetData>
    <row r="1" ht="15.75" customHeight="1"/>
    <row r="2" ht="21" customHeight="1"/>
    <row r="48" spans="48:49">
      <c r="AV48" s="90"/>
      <c r="AW48" s="90"/>
    </row>
    <row r="49" spans="5:49">
      <c r="AV49" s="90"/>
      <c r="AW49" s="90"/>
    </row>
    <row r="50" spans="5:49">
      <c r="AV50" s="90"/>
      <c r="AW50" s="90"/>
    </row>
    <row r="51" spans="5:49">
      <c r="AV51" s="90"/>
      <c r="AW51" s="90"/>
    </row>
    <row r="52" spans="5:49">
      <c r="AV52" s="90"/>
      <c r="AW52" s="90"/>
    </row>
    <row r="53" spans="5:49">
      <c r="AV53" s="90"/>
      <c r="AW53" s="90"/>
    </row>
    <row r="54" spans="5:49">
      <c r="AV54" s="90"/>
      <c r="AW54" s="90"/>
    </row>
    <row r="55" spans="5:49">
      <c r="AV55" s="90"/>
      <c r="AW55" s="90"/>
    </row>
    <row r="56" spans="5:49">
      <c r="AV56" s="90"/>
      <c r="AW56" s="90"/>
    </row>
    <row r="57" spans="5:49">
      <c r="AV57" s="90"/>
      <c r="AW57" s="90"/>
    </row>
    <row r="58" spans="5:49">
      <c r="AU58" s="90"/>
      <c r="AV58" s="90"/>
      <c r="AW58" s="90"/>
    </row>
    <row r="59" spans="5:49" ht="21"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2"/>
      <c r="AC59" s="235"/>
      <c r="AD59" s="235"/>
      <c r="AE59" s="235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</row>
    <row r="60" spans="5:49"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2"/>
      <c r="AC60" s="103"/>
      <c r="AD60" s="104"/>
      <c r="AE60" s="105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</row>
    <row r="61" spans="5:49"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AB61" s="2"/>
      <c r="AC61" s="106"/>
      <c r="AD61" s="106"/>
      <c r="AE61" s="106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</row>
    <row r="62" spans="5:49"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AB62" s="2"/>
      <c r="AC62" s="106"/>
      <c r="AD62" s="106"/>
      <c r="AE62" s="106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</row>
    <row r="63" spans="5:49"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AB63" s="2"/>
      <c r="AC63" s="106"/>
      <c r="AD63" s="106"/>
      <c r="AE63" s="106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</row>
    <row r="64" spans="5:49"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AB64" s="2"/>
      <c r="AC64" s="2"/>
      <c r="AD64" s="2"/>
      <c r="AE64" s="2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</row>
    <row r="65" spans="5:43"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</row>
    <row r="66" spans="5:43" ht="15.75">
      <c r="E66" s="11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</row>
    <row r="67" spans="5:43" ht="15.75">
      <c r="E67" s="11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</row>
    <row r="68" spans="5:43"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</row>
    <row r="69" spans="5:43"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</row>
    <row r="70" spans="5:43"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</row>
    <row r="71" spans="5:43"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</row>
    <row r="72" spans="5:43"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</row>
    <row r="73" spans="5:43"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</row>
    <row r="74" spans="5:43"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</row>
    <row r="75" spans="5:43"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</row>
    <row r="76" spans="5:43"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</row>
    <row r="77" spans="5:43"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</row>
    <row r="78" spans="5:43"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</row>
    <row r="79" spans="5:43"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</row>
    <row r="80" spans="5:43"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</row>
    <row r="81" spans="5:43"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</row>
    <row r="82" spans="5:43">
      <c r="E82" s="3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</row>
    <row r="83" spans="5:43" ht="15.75">
      <c r="E83" s="11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</row>
    <row r="84" spans="5:43" ht="15.75">
      <c r="E84" s="11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</row>
    <row r="85" spans="5:43" ht="15.75">
      <c r="E85" s="11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</row>
    <row r="86" spans="5:43"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</row>
    <row r="87" spans="5:43"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</row>
    <row r="88" spans="5:43"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</row>
    <row r="89" spans="5:43"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</row>
    <row r="90" spans="5:43"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</row>
    <row r="91" spans="5:43"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</row>
    <row r="92" spans="5:43"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</row>
    <row r="93" spans="5:43"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</row>
    <row r="94" spans="5:43"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</row>
    <row r="95" spans="5:43"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</row>
    <row r="96" spans="5:43"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</row>
    <row r="97" spans="9:51"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</row>
    <row r="98" spans="9:51"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</row>
    <row r="99" spans="9:51"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</row>
    <row r="100" spans="9:51"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</row>
    <row r="101" spans="9:51"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</row>
    <row r="102" spans="9:51"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</row>
    <row r="103" spans="9:51"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</row>
    <row r="104" spans="9:51"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5" spans="9:51"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</row>
    <row r="106" spans="9:51" ht="21"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2"/>
      <c r="AG106" s="235"/>
      <c r="AH106" s="235"/>
      <c r="AI106" s="235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</row>
    <row r="107" spans="9:51"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2"/>
      <c r="AG107" s="103"/>
      <c r="AH107" s="104"/>
      <c r="AI107" s="105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</row>
    <row r="108" spans="9:51"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 t="s">
        <v>51</v>
      </c>
      <c r="AC108" s="90" t="s">
        <v>52</v>
      </c>
      <c r="AE108" s="90"/>
      <c r="AF108" s="2"/>
      <c r="AG108" s="106"/>
      <c r="AH108" s="106"/>
      <c r="AI108" s="106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</row>
    <row r="109" spans="9:51"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 t="e">
        <f>IF(Лист1!S10=#REF!,3,IF(Лист1!S10=#REF!,0,1))</f>
        <v>#REF!</v>
      </c>
      <c r="AC109" s="90" t="e">
        <f>IF(Лист1!O10=#REF!,3,IF(Лист1!O10=#REF!,0,1))</f>
        <v>#REF!</v>
      </c>
      <c r="AE109" s="90" t="s">
        <v>54</v>
      </c>
      <c r="AF109" s="2"/>
      <c r="AG109" s="106"/>
      <c r="AH109" s="106"/>
      <c r="AI109" s="106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</row>
    <row r="110" spans="9:51"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 t="e">
        <f>IF(Лист1!S10=#REF!,3,IF(Лист1!S10=#REF!,0,1))</f>
        <v>#REF!</v>
      </c>
      <c r="AC110" s="90" t="e">
        <f>IF(Лист1!O10=#REF!,3,IF(Лист1!O10=#REF!,0,1))</f>
        <v>#REF!</v>
      </c>
      <c r="AE110" s="90" t="s">
        <v>55</v>
      </c>
      <c r="AF110" s="2"/>
      <c r="AG110" s="106"/>
      <c r="AH110" s="106"/>
      <c r="AI110" s="106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</row>
    <row r="111" spans="9:51"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 t="e">
        <f>IF(Лист1!S10=#REF!,3,IF(Лист1!S10=#REF!,0,1))</f>
        <v>#REF!</v>
      </c>
      <c r="AC111" s="90" t="e">
        <f>IF(Лист1!O10=#REF!,3,IF(Лист1!O10=#REF!,0,1))</f>
        <v>#REF!</v>
      </c>
      <c r="AE111" s="90" t="s">
        <v>56</v>
      </c>
      <c r="AF111" s="2"/>
      <c r="AG111" s="2"/>
      <c r="AH111" s="2"/>
      <c r="AI111" s="2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</row>
    <row r="112" spans="9:51"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</row>
    <row r="113" spans="9:51" ht="15.75">
      <c r="I113" s="11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</row>
    <row r="114" spans="9:51" ht="15.75">
      <c r="I114" s="11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</row>
    <row r="115" spans="9:51"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</row>
    <row r="116" spans="9:51"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</row>
    <row r="117" spans="9:51"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</row>
    <row r="118" spans="9:51"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</row>
    <row r="119" spans="9:51"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</row>
    <row r="120" spans="9:51"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</row>
    <row r="121" spans="9:51"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</row>
    <row r="122" spans="9:51"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</row>
    <row r="123" spans="9:51"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</row>
    <row r="124" spans="9:51"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</row>
    <row r="125" spans="9:51"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</row>
    <row r="126" spans="9:51"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</row>
    <row r="127" spans="9:51"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</row>
    <row r="128" spans="9:51"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</row>
    <row r="129" spans="9:51"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</row>
    <row r="130" spans="9:51"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</row>
    <row r="131" spans="9:51"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</row>
    <row r="132" spans="9:51"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</row>
    <row r="133" spans="9:51"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</row>
    <row r="134" spans="9:51"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</row>
    <row r="135" spans="9:51"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</row>
    <row r="136" spans="9:51"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</row>
    <row r="137" spans="9:51"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</row>
    <row r="138" spans="9:51"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</row>
    <row r="139" spans="9:51"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</row>
    <row r="140" spans="9:51"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</row>
    <row r="141" spans="9:51"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</row>
    <row r="142" spans="9:51"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</row>
  </sheetData>
  <mergeCells count="2">
    <mergeCell ref="AG106:AI106"/>
    <mergeCell ref="AC59:AE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T112"/>
  <sheetViews>
    <sheetView topLeftCell="L13" workbookViewId="0">
      <selection activeCell="U26" sqref="U26:X26"/>
    </sheetView>
  </sheetViews>
  <sheetFormatPr defaultColWidth="13.7109375" defaultRowHeight="15"/>
  <sheetData>
    <row r="1" spans="1:33" ht="15.75" thickBot="1">
      <c r="A1" s="241" t="s">
        <v>50</v>
      </c>
      <c r="B1" s="250"/>
      <c r="C1" s="250"/>
      <c r="D1" s="251"/>
      <c r="E1" s="88" t="s">
        <v>63</v>
      </c>
      <c r="F1" s="88" t="s">
        <v>63</v>
      </c>
      <c r="I1" s="71" t="s">
        <v>46</v>
      </c>
      <c r="J1" s="72"/>
      <c r="K1" s="72"/>
      <c r="O1" s="78" t="s">
        <v>47</v>
      </c>
      <c r="P1" s="72"/>
      <c r="Q1" s="72"/>
      <c r="R1" s="88" t="s">
        <v>63</v>
      </c>
      <c r="W1" s="1">
        <v>54</v>
      </c>
      <c r="X1" s="1"/>
      <c r="Y1" s="265"/>
      <c r="Z1" s="266"/>
      <c r="AA1" s="266"/>
      <c r="AB1" s="266"/>
      <c r="AC1" s="266"/>
      <c r="AD1" s="266"/>
      <c r="AE1" s="266"/>
      <c r="AF1" s="266"/>
      <c r="AG1" s="267"/>
    </row>
    <row r="2" spans="1:33" ht="21">
      <c r="A2" s="252"/>
      <c r="B2" s="253"/>
      <c r="C2" s="253"/>
      <c r="D2" s="254"/>
      <c r="E2" s="24" t="s">
        <v>6</v>
      </c>
      <c r="F2" s="24" t="s">
        <v>40</v>
      </c>
      <c r="I2" s="271">
        <v>18</v>
      </c>
      <c r="J2" s="272"/>
      <c r="K2" s="273"/>
      <c r="L2" s="268" t="s">
        <v>45</v>
      </c>
      <c r="M2" s="269"/>
      <c r="N2" s="270"/>
      <c r="O2" s="268" t="s">
        <v>44</v>
      </c>
      <c r="P2" s="269"/>
      <c r="Q2" s="270"/>
      <c r="R2" s="24" t="s">
        <v>6</v>
      </c>
      <c r="W2" s="70">
        <v>18</v>
      </c>
      <c r="X2" s="1"/>
      <c r="Y2" s="263" t="s">
        <v>11</v>
      </c>
      <c r="Z2" s="264"/>
      <c r="AA2" s="259"/>
      <c r="AB2" s="263" t="s">
        <v>28</v>
      </c>
      <c r="AC2" s="264"/>
      <c r="AD2" s="259"/>
      <c r="AE2" s="263" t="s">
        <v>9</v>
      </c>
      <c r="AF2" s="264"/>
      <c r="AG2" s="259"/>
    </row>
    <row r="3" spans="1:33" ht="15.75" thickBot="1">
      <c r="A3" s="19"/>
      <c r="B3" s="18" t="s">
        <v>3</v>
      </c>
      <c r="C3" s="8" t="s">
        <v>4</v>
      </c>
      <c r="D3" s="11" t="s">
        <v>5</v>
      </c>
      <c r="E3" s="24" t="s">
        <v>29</v>
      </c>
      <c r="F3" s="1" t="s">
        <v>7</v>
      </c>
      <c r="I3" s="9" t="s">
        <v>3</v>
      </c>
      <c r="J3" s="10" t="s">
        <v>4</v>
      </c>
      <c r="K3" s="7" t="s">
        <v>5</v>
      </c>
      <c r="L3" s="9" t="s">
        <v>3</v>
      </c>
      <c r="M3" s="10" t="s">
        <v>4</v>
      </c>
      <c r="N3" s="7" t="s">
        <v>5</v>
      </c>
      <c r="O3" s="9" t="s">
        <v>3</v>
      </c>
      <c r="P3" s="10" t="s">
        <v>4</v>
      </c>
      <c r="Q3" s="7" t="s">
        <v>5</v>
      </c>
      <c r="R3" s="24" t="s">
        <v>29</v>
      </c>
      <c r="W3" s="1">
        <v>12</v>
      </c>
      <c r="X3" s="1"/>
      <c r="Y3" s="25" t="s">
        <v>3</v>
      </c>
      <c r="Z3" s="2" t="s">
        <v>4</v>
      </c>
      <c r="AA3" s="5" t="s">
        <v>5</v>
      </c>
      <c r="AB3" s="25" t="s">
        <v>3</v>
      </c>
      <c r="AC3" s="2" t="s">
        <v>4</v>
      </c>
      <c r="AD3" s="5" t="s">
        <v>5</v>
      </c>
      <c r="AE3" s="25" t="s">
        <v>3</v>
      </c>
      <c r="AF3" s="2" t="s">
        <v>4</v>
      </c>
      <c r="AG3" s="5" t="s">
        <v>5</v>
      </c>
    </row>
    <row r="4" spans="1:33" ht="15.75" thickBot="1">
      <c r="A4" s="20" t="s">
        <v>8</v>
      </c>
      <c r="B4" s="21">
        <f>Лист1!B4-A21*L30-A21*Q30-A21*V30</f>
        <v>-12</v>
      </c>
      <c r="C4" s="15">
        <f>Лист1!C4-A21*M30-A21*R30-A21*W30</f>
        <v>-4</v>
      </c>
      <c r="D4" s="12">
        <f>Лист1!D4-A21*N30-A21*S30-A21*X30</f>
        <v>-4</v>
      </c>
      <c r="E4" s="24" t="s">
        <v>38</v>
      </c>
      <c r="F4" s="1" t="s">
        <v>41</v>
      </c>
      <c r="I4" s="73" t="e">
        <f>IF(18*W42-L9&gt;0,18*W42-L9,"комплект")</f>
        <v>#VALUE!</v>
      </c>
      <c r="J4" s="29" t="e">
        <f>IF(18*W43-M9&gt;0,18*W43-M9,"комплект")</f>
        <v>#VALUE!</v>
      </c>
      <c r="K4" s="30" t="e">
        <f>IF(18*W44-N9&gt;0,18*W44-N9,"комплект")</f>
        <v>#VALUE!</v>
      </c>
      <c r="L4" s="27" t="e">
        <f>IF(4*W42-L9&gt;0,4*W42-L9,"комплект")</f>
        <v>#VALUE!</v>
      </c>
      <c r="M4" s="27" t="e">
        <f>IF(4*W43-M9&gt;0,4*W43-M9,"комплект")</f>
        <v>#VALUE!</v>
      </c>
      <c r="N4" s="27" t="e">
        <f>IF(4*W44-N9&gt;0,4*W44-N9,"комплект")</f>
        <v>#VALUE!</v>
      </c>
      <c r="O4" s="27" t="e">
        <f>IF(2*X42-O14&gt;0,2*X42-O14,"комплект")</f>
        <v>#VALUE!</v>
      </c>
      <c r="P4" s="29" t="e">
        <f>IF(2*X43-P14&gt;0,2*X43-P14,"комплект")</f>
        <v>#VALUE!</v>
      </c>
      <c r="Q4" s="30" t="e">
        <f>IF(2*X44-Q14&gt;0,2*X44-Q14,"комплект")</f>
        <v>#VALUE!</v>
      </c>
      <c r="R4" s="24" t="s">
        <v>38</v>
      </c>
      <c r="W4" s="1">
        <v>9</v>
      </c>
      <c r="X4" s="1"/>
      <c r="Y4" s="25">
        <f>IF((W1-B4)&gt;0,W1-B4,"комплект")</f>
        <v>66</v>
      </c>
      <c r="Z4" s="3">
        <f>IF((W2-C4)&gt;0,W2-C4,"комплект")</f>
        <v>22</v>
      </c>
      <c r="AA4" s="5">
        <f>IF((W2-D4)&gt;0,W2-D4,"комплект")</f>
        <v>22</v>
      </c>
      <c r="AB4" s="25">
        <f>IF((W2-B4)&gt;0,W2-B4,"комплект")</f>
        <v>30</v>
      </c>
      <c r="AC4" s="3">
        <f>IF((W1-C4)&gt;0,W1-C4,"комплект")</f>
        <v>58</v>
      </c>
      <c r="AD4" s="5">
        <f>IF((W2-D4)&gt;0,W2-D4,"комплект")</f>
        <v>22</v>
      </c>
      <c r="AE4" s="3">
        <f>IF((W2-B4)&gt;0,W2-B4,"комплект")</f>
        <v>30</v>
      </c>
      <c r="AF4" s="3">
        <f>IF((W2-C4)&gt;0,W2-C4,"комплект")</f>
        <v>22</v>
      </c>
      <c r="AG4" s="5">
        <f>IF((W1-D4)&gt;0,W1-D4,"комплект")</f>
        <v>58</v>
      </c>
    </row>
    <row r="5" spans="1:33" ht="15.75" thickBot="1">
      <c r="A5" s="20" t="s">
        <v>10</v>
      </c>
      <c r="B5" s="21">
        <f>Лист1!B5-A21*L31-A21*Q31-A21*V31</f>
        <v>-15</v>
      </c>
      <c r="C5" s="15">
        <f>Лист1!C5-A21*M31-A21*R31-A21*W31</f>
        <v>-5</v>
      </c>
      <c r="D5" s="12">
        <f>Лист1!D5-A21*N31-A21*S31-A21*X31</f>
        <v>-5</v>
      </c>
      <c r="E5" s="24" t="s">
        <v>39</v>
      </c>
      <c r="F5" s="1" t="s">
        <v>42</v>
      </c>
      <c r="I5" s="74" t="s">
        <v>57</v>
      </c>
      <c r="J5" s="82" t="s">
        <v>57</v>
      </c>
      <c r="K5" s="83" t="s">
        <v>57</v>
      </c>
      <c r="L5" s="28" t="e">
        <f>IF(6*W42-L10&gt;0,6*W42-L10,"комплект")</f>
        <v>#VALUE!</v>
      </c>
      <c r="M5" s="28" t="e">
        <f>IF(6*W43-M10&gt;0,6*W43-M10,"комплект")</f>
        <v>#VALUE!</v>
      </c>
      <c r="N5" s="28" t="e">
        <f>IF(6*W44-N10&gt;0,6*W44-N10,"комплект")</f>
        <v>#VALUE!</v>
      </c>
      <c r="O5" s="28" t="e">
        <f>IF(3*X42-O15&gt;0,3*X42-O15,"комплект")</f>
        <v>#VALUE!</v>
      </c>
      <c r="P5" s="31" t="e">
        <f>IF(3*X43-P15&gt;0,3*X43-P15,"комплект")</f>
        <v>#VALUE!</v>
      </c>
      <c r="Q5" s="30" t="e">
        <f>IF(3*X44-Q15&gt;0,3*X44-Q15,"комплект")</f>
        <v>#VALUE!</v>
      </c>
      <c r="R5" s="24" t="s">
        <v>39</v>
      </c>
      <c r="W5" s="1">
        <v>6</v>
      </c>
      <c r="X5" s="1"/>
      <c r="Y5" s="263"/>
      <c r="Z5" s="264"/>
      <c r="AA5" s="264"/>
      <c r="AB5" s="264"/>
      <c r="AC5" s="264"/>
      <c r="AD5" s="264"/>
      <c r="AE5" s="264"/>
      <c r="AF5" s="264"/>
      <c r="AG5" s="259"/>
    </row>
    <row r="6" spans="1:33" ht="15.75" thickBot="1">
      <c r="A6" s="20" t="s">
        <v>12</v>
      </c>
      <c r="B6" s="21">
        <f>Лист1!B6-A21*L32-A21*Q32-A21*V32</f>
        <v>-4</v>
      </c>
      <c r="C6" s="15">
        <f>Лист1!C6-A21*M32-A21*R32-A21*W32</f>
        <v>-4</v>
      </c>
      <c r="D6" s="12">
        <f>Лист1!D6-A21*N32-A21*S32-A21*X32</f>
        <v>-12</v>
      </c>
      <c r="E6" s="24" t="s">
        <v>33</v>
      </c>
      <c r="F6" s="1" t="s">
        <v>43</v>
      </c>
      <c r="I6" s="86" t="s">
        <v>57</v>
      </c>
      <c r="J6" s="85" t="s">
        <v>57</v>
      </c>
      <c r="K6" s="84" t="s">
        <v>57</v>
      </c>
      <c r="L6" s="32" t="e">
        <f>IF(8*W42-L11&gt;0,8*W42-L11,"комплект")</f>
        <v>#VALUE!</v>
      </c>
      <c r="M6" s="32" t="e">
        <f>IF(8*W43-M11&gt;0,8*W43-M11,"комплект")</f>
        <v>#VALUE!</v>
      </c>
      <c r="N6" s="32" t="e">
        <f>IF(8*W44-N11&gt;0,8*W44-N11,"комплект")</f>
        <v>#VALUE!</v>
      </c>
      <c r="O6" s="32" t="e">
        <f>IF(4*X42-O16&gt;0,4*X42-O16,"комплект")</f>
        <v>#VALUE!</v>
      </c>
      <c r="P6" s="33" t="e">
        <f>IF(4*X43-P16&gt;0,4*X43-P16,"комплект")</f>
        <v>#VALUE!</v>
      </c>
      <c r="Q6" s="34" t="e">
        <f>IF(4*X44-Q16&gt;0,4*X44-Q16,"комплект")</f>
        <v>#VALUE!</v>
      </c>
      <c r="R6" s="24" t="s">
        <v>33</v>
      </c>
      <c r="W6" s="1">
        <v>4</v>
      </c>
      <c r="X6" s="1"/>
      <c r="Y6" s="25">
        <f>IF((W3-B4)&gt;0,W3-B4,"комплект")</f>
        <v>24</v>
      </c>
      <c r="Z6" s="3">
        <f>IF((W6-C4)&gt;0,W6-C4,"комплект")</f>
        <v>8</v>
      </c>
      <c r="AA6" s="5">
        <f>IF((W6-D4)&gt;0,W6-D4,"комплект")</f>
        <v>8</v>
      </c>
      <c r="AB6" s="25">
        <f>IF((W6-B4)&gt;0,W6-B4,"комплект")</f>
        <v>16</v>
      </c>
      <c r="AC6" s="3">
        <f>IF((W3-C4)&gt;0,W3-C4,"комплект")</f>
        <v>16</v>
      </c>
      <c r="AD6" s="5">
        <f>IF((W6-D4)&gt;0,W6-D4,"комплект")</f>
        <v>8</v>
      </c>
      <c r="AE6" s="3">
        <f>IF((W6-B4)&gt;0,W6-B4,"комплект")</f>
        <v>16</v>
      </c>
      <c r="AF6" s="3">
        <f>IF((W6-C4)&gt;0,W6-C4,"комплект")</f>
        <v>8</v>
      </c>
      <c r="AG6" s="5">
        <f>IF((W3-D4)&gt;0,W3-D4,"комплект")</f>
        <v>16</v>
      </c>
    </row>
    <row r="7" spans="1:33" ht="21.75" thickBot="1">
      <c r="A7" s="20" t="s">
        <v>13</v>
      </c>
      <c r="B7" s="21">
        <f>Лист1!B7-A21*L33-A21*Q33-A21*V33</f>
        <v>-6</v>
      </c>
      <c r="C7" s="15">
        <f>Лист1!C7-A21*M33-A21*R33-A21*W33</f>
        <v>-6</v>
      </c>
      <c r="D7" s="12">
        <f>Лист1!D7-A21*N33-A21*S33-A21*X33</f>
        <v>-18</v>
      </c>
      <c r="E7" s="36" t="s">
        <v>8</v>
      </c>
      <c r="I7" s="268" t="s">
        <v>44</v>
      </c>
      <c r="J7" s="269"/>
      <c r="K7" s="270"/>
      <c r="L7" s="271" t="s">
        <v>48</v>
      </c>
      <c r="M7" s="272"/>
      <c r="N7" s="273"/>
      <c r="O7" s="268" t="s">
        <v>45</v>
      </c>
      <c r="P7" s="269"/>
      <c r="Q7" s="270"/>
      <c r="R7" s="24" t="s">
        <v>40</v>
      </c>
      <c r="W7" s="1">
        <v>3</v>
      </c>
      <c r="X7" s="1"/>
      <c r="Y7" s="25">
        <f>IF((W10-B5)&gt;0,W10-B5,"комплект")</f>
        <v>30</v>
      </c>
      <c r="Z7" s="3">
        <f>IF((5-C5)&gt;0,5-C5,"комплект")</f>
        <v>10</v>
      </c>
      <c r="AA7" s="5">
        <f>IF((W11-D5)&gt;0,W11-D5,"комплект")</f>
        <v>10</v>
      </c>
      <c r="AB7" s="25">
        <f>IF((W11-B5)&gt;0,W11-B5,"комплект")</f>
        <v>20</v>
      </c>
      <c r="AC7" s="3">
        <f>IF((W10-C5)&gt;0,W10-C5,"комплект")</f>
        <v>20</v>
      </c>
      <c r="AD7" s="5">
        <f>IF((W11-D5)&gt;0,W11-D5,"комплект")</f>
        <v>10</v>
      </c>
      <c r="AE7" s="3">
        <f>IF((W11-B5)&gt;0,W11-B5,"комплект")</f>
        <v>20</v>
      </c>
      <c r="AF7" s="3">
        <f>IF((5-C5)&gt;0,5-C5,"комплект")</f>
        <v>10</v>
      </c>
      <c r="AG7" s="5">
        <f>IF((W10-D5)&gt;0,W10-D5,"комплект")</f>
        <v>20</v>
      </c>
    </row>
    <row r="8" spans="1:33" ht="16.5" thickBot="1">
      <c r="A8" s="20" t="s">
        <v>14</v>
      </c>
      <c r="B8" s="21">
        <f>Лист1!B8-A21*L34-A21*Q34-A21*V34</f>
        <v>-8</v>
      </c>
      <c r="C8" s="15">
        <f>Лист1!C8-A21*M34-A21*R34-A21*W34</f>
        <v>-8</v>
      </c>
      <c r="D8" s="12">
        <f>Лист1!D8-A21*N34-A21*S34-A21*X34</f>
        <v>-24</v>
      </c>
      <c r="E8" s="36" t="s">
        <v>10</v>
      </c>
      <c r="I8" s="9" t="s">
        <v>3</v>
      </c>
      <c r="J8" s="10" t="s">
        <v>4</v>
      </c>
      <c r="K8" s="7" t="s">
        <v>5</v>
      </c>
      <c r="L8" s="9" t="s">
        <v>3</v>
      </c>
      <c r="M8" s="10" t="s">
        <v>4</v>
      </c>
      <c r="N8" s="7" t="s">
        <v>5</v>
      </c>
      <c r="O8" s="9" t="s">
        <v>3</v>
      </c>
      <c r="P8" s="10" t="s">
        <v>4</v>
      </c>
      <c r="Q8" s="7" t="s">
        <v>5</v>
      </c>
      <c r="R8" s="1" t="s">
        <v>7</v>
      </c>
      <c r="W8" s="1">
        <v>2</v>
      </c>
      <c r="X8" s="1"/>
      <c r="Y8" s="263"/>
      <c r="Z8" s="264"/>
      <c r="AA8" s="264"/>
      <c r="AB8" s="264"/>
      <c r="AC8" s="264"/>
      <c r="AD8" s="264"/>
      <c r="AE8" s="264"/>
      <c r="AF8" s="264"/>
      <c r="AG8" s="259"/>
    </row>
    <row r="9" spans="1:33" ht="16.5" thickBot="1">
      <c r="A9" s="20" t="s">
        <v>15</v>
      </c>
      <c r="B9" s="21">
        <f>Лист1!B9-A21*L35-A21*Q35-A21*V35</f>
        <v>0</v>
      </c>
      <c r="C9" s="15">
        <f>Лист1!C9-A21*M35-A21*R35-A21*W35</f>
        <v>0</v>
      </c>
      <c r="D9" s="12">
        <f>Лист1!D9-A21*N35-A21*S35-A21*X35</f>
        <v>0</v>
      </c>
      <c r="E9" s="36" t="s">
        <v>12</v>
      </c>
      <c r="I9" s="27" t="e">
        <f>IF(2*W42-L9&gt;0,2*W42-L9,"комплект")</f>
        <v>#VALUE!</v>
      </c>
      <c r="J9" s="27" t="e">
        <f>IF(2*W43-M9&gt;0,2*W43-M9,"комплект")</f>
        <v>#VALUE!</v>
      </c>
      <c r="K9" s="27" t="e">
        <f>IF(2*W44-N9&gt;0,2*W44-N9,"комплект")</f>
        <v>#VALUE!</v>
      </c>
      <c r="L9" s="27" t="str">
        <f>IF(Лист4!Y41=E2,Лист1!B4,IF(Лист4!Y41=E3,Лист1!B4,IF(Лист4!Y41=E4,Лист1!B4,IF(Лист4!Y41=E5,Лист1!B5,IF(Лист4!Y41=E6,Лист1!B6,"-")))))</f>
        <v>-</v>
      </c>
      <c r="M9" s="27" t="str">
        <f>IF(Лист4!Y41=E2,Лист1!C4,IF(Лист4!Y41=E3,Лист1!C4,IF(Лист4!Y41=E4,Лист1!C4,IF(Лист4!Y41=E5,Лист1!C5,IF(Лист4!Y41=E6,Лист1!C6,"-")))))</f>
        <v>-</v>
      </c>
      <c r="N9" s="27" t="str">
        <f>IF(Лист4!Y41=E2,Лист1!D4,IF(Лист4!Y41=E3,Лист1!D4,IF(Лист4!Y41=E4,Лист1!D4,IF(Лист4!Y41=E5,Лист1!D5,IF(Лист4!Y41=E6,Лист1!D6,"-")))))</f>
        <v>-</v>
      </c>
      <c r="O9" s="27" t="e">
        <f>IF(4*X42-O14&gt;0,4*X42-O14,"комплект")</f>
        <v>#VALUE!</v>
      </c>
      <c r="P9" s="29" t="e">
        <f>IF(4*X43-P14&gt;0,4*X43-P14,"комплект")</f>
        <v>#VALUE!</v>
      </c>
      <c r="Q9" s="30" t="e">
        <f>IF(4*X44-Q14&gt;0,4*X44-Q14,"комплект")</f>
        <v>#VALUE!</v>
      </c>
      <c r="R9" s="1" t="s">
        <v>41</v>
      </c>
      <c r="W9" s="1"/>
      <c r="X9" s="1"/>
      <c r="Y9" s="25">
        <f>IF((W5-B4)&gt;0,W5-B4,"комплект")</f>
        <v>18</v>
      </c>
      <c r="Z9" s="3">
        <f>IF((W8-C4)&gt;0,W8-C4,"комплект")</f>
        <v>6</v>
      </c>
      <c r="AA9" s="5">
        <f>IF((W8-D4)&gt;0,W8-D4,"комплект")</f>
        <v>6</v>
      </c>
      <c r="AB9" s="25">
        <f>IF((W8-B4)&gt;0,W8-B4,"комплект")</f>
        <v>14</v>
      </c>
      <c r="AC9" s="3">
        <f>IF((W5-C4)&gt;0,W5-C4,"комплект")</f>
        <v>10</v>
      </c>
      <c r="AD9" s="5">
        <f>IF((W8-D4)&gt;0,W8-D4,"комплект")</f>
        <v>6</v>
      </c>
      <c r="AE9" s="3">
        <f>IF((W8-B4)&gt;0,W8-B4,"комплект")</f>
        <v>14</v>
      </c>
      <c r="AF9" s="3">
        <f>IF((W8-C4)&gt;0,W8-C4,"комплект")</f>
        <v>6</v>
      </c>
      <c r="AG9" s="5">
        <f>IF((W5-D4)&gt;0,W5-D4,"комплект")</f>
        <v>10</v>
      </c>
    </row>
    <row r="10" spans="1:33" ht="16.5" thickBot="1">
      <c r="A10" s="20" t="s">
        <v>16</v>
      </c>
      <c r="B10" s="21">
        <f>Лист1!B10-A21*L36-A21*Q36-A21*V36</f>
        <v>0</v>
      </c>
      <c r="C10" s="15">
        <f>Лист1!C10-A21*M36-A21*R36-A21*W36</f>
        <v>0</v>
      </c>
      <c r="D10" s="12">
        <f>Лист1!D10-A21*N36-A21*S36-A21*X36</f>
        <v>0</v>
      </c>
      <c r="E10" s="36" t="s">
        <v>13</v>
      </c>
      <c r="I10" s="28" t="e">
        <f>IF(3*W42-L10&gt;0,3*W42-L10,"комплект")</f>
        <v>#VALUE!</v>
      </c>
      <c r="J10" s="28" t="e">
        <f>IF(3*W43-M10&gt;0,3*W43-M10,"комплект")</f>
        <v>#VALUE!</v>
      </c>
      <c r="K10" s="28" t="e">
        <f>IF(3*W44-N10&gt;0,3*W44-N10,"комплект")</f>
        <v>#VALUE!</v>
      </c>
      <c r="L10" s="28" t="str">
        <f>IF(Лист4!Y41=E3,Лист1!B5,IF(Лист4!Y41=E4,Лист1!B5,IF(Лист4!Y41=E5,Лист1!B6,IF(Лист4!Y41=E6,Лист1!B7,"-"))))</f>
        <v>-</v>
      </c>
      <c r="M10" s="28" t="str">
        <f>IF(Лист4!Y41=E3,Лист1!C5,IF(Лист4!Y41=E4,Лист1!C5,IF(Лист4!Y41=E5,Лист1!C6,IF(Лист4!Y41=E6,Лист1!C7,"-"))))</f>
        <v>-</v>
      </c>
      <c r="N10" s="28" t="str">
        <f>IF(Лист4!Y41=E3,Лист1!D5,IF(Лист4!Y41=E4,Лист1!D5,IF(Лист4!Y41=E5,Лист1!D6,IF(Лист4!Y41=E6,Лист1!D7,"-"))))</f>
        <v>-</v>
      </c>
      <c r="O10" s="28" t="e">
        <f>IF(6*X42-O15&gt;0,6*X42-O15,"комплект")</f>
        <v>#VALUE!</v>
      </c>
      <c r="P10" s="31" t="e">
        <f>IF(6*X43-P15&gt;0,6*X43-P15,"комплект")</f>
        <v>#VALUE!</v>
      </c>
      <c r="Q10" s="30" t="e">
        <f>IF(6*X44-Q15&gt;0,6*X44-Q15,"комплект")</f>
        <v>#VALUE!</v>
      </c>
      <c r="R10" s="1" t="s">
        <v>42</v>
      </c>
      <c r="W10" s="1">
        <v>15</v>
      </c>
      <c r="X10" s="1"/>
      <c r="Y10" s="25">
        <f>IF((W4-B5)&gt;0,W4-B5,"комплект")</f>
        <v>24</v>
      </c>
      <c r="Z10" s="3">
        <f>IF((W7-C5)&gt;0,W7-C5,"комплект")</f>
        <v>8</v>
      </c>
      <c r="AA10" s="5">
        <f>IF((W7-D5)&gt;0,W7-D5,"комплект")</f>
        <v>8</v>
      </c>
      <c r="AB10" s="25">
        <f>IF((W7-B5)&gt;0,W7-B5,"комплект")</f>
        <v>18</v>
      </c>
      <c r="AC10" s="3">
        <f>IF((W4-C5)&gt;0,W4-C5,"комплект")</f>
        <v>14</v>
      </c>
      <c r="AD10" s="5">
        <f>IF((W7-D5)&gt;0,W7-D5,"комплект")</f>
        <v>8</v>
      </c>
      <c r="AE10" s="3">
        <f>IF((W7-B5)&gt;0,W7-B5,"комплект")</f>
        <v>18</v>
      </c>
      <c r="AF10" s="3">
        <f>IF((W7-C5)&gt;0,W7-C5,"комплект")</f>
        <v>8</v>
      </c>
      <c r="AG10" s="5">
        <f>IF((W4-D5)&gt;0,W4-D5,"комплект")</f>
        <v>14</v>
      </c>
    </row>
    <row r="11" spans="1:33" ht="16.5" thickBot="1">
      <c r="A11" s="20" t="s">
        <v>18</v>
      </c>
      <c r="B11" s="22">
        <f>Лист1!B11-A21*L37-A21*Q37-A21*V37</f>
        <v>0</v>
      </c>
      <c r="C11" s="16">
        <f>Лист1!C11-A21*M37-A21*R37-A21*W37</f>
        <v>0</v>
      </c>
      <c r="D11" s="13">
        <f>Лист1!D11-A21*N37-A21*S37-A21*X37</f>
        <v>0</v>
      </c>
      <c r="E11" s="36" t="s">
        <v>14</v>
      </c>
      <c r="I11" s="32" t="e">
        <f>IF(4*W42-L11&gt;0,4*W42-L11,"комплект")</f>
        <v>#VALUE!</v>
      </c>
      <c r="J11" s="32" t="e">
        <f>IF(4*W43-M11&gt;0,4*W43-M11,"комплект")</f>
        <v>#VALUE!</v>
      </c>
      <c r="K11" s="32" t="e">
        <f>IF(4*W44-N11&gt;0,4*W44-N11,"комплект")</f>
        <v>#VALUE!</v>
      </c>
      <c r="L11" s="32" t="str">
        <f>IF(Лист4!Y41=E4,Лист1!B6,IF(Лист4!Y41=E5,Лист1!B7,IF(Лист4!Y41=E6,Лист1!B8,"-")))</f>
        <v>-</v>
      </c>
      <c r="M11" s="32" t="str">
        <f>IF(Лист4!Y41=E4,Лист1!C6,IF(Лист4!Y41=E5,Лист1!C7,IF(Лист4!Y41=E6,Лист1!C8,"-")))</f>
        <v>-</v>
      </c>
      <c r="N11" s="32" t="str">
        <f>IF(Лист4!Y41=E4,Лист1!D6,IF(Лист4!Y41=E5,Лист1!D7,IF(Лист4!Y41=E6,Лист1!D8,"-")))</f>
        <v>-</v>
      </c>
      <c r="O11" s="32" t="e">
        <f>IF(8*X42-O16&gt;0,8*X42-O16,"комплект")</f>
        <v>#VALUE!</v>
      </c>
      <c r="P11" s="33" t="e">
        <f>IF(8*X43-P16&gt;0,8*X43-P16,"комплект")</f>
        <v>#VALUE!</v>
      </c>
      <c r="Q11" s="34" t="e">
        <f>IF(8*X44-Q16&gt;0,8*X44-Q16,"комплект")</f>
        <v>#VALUE!</v>
      </c>
      <c r="R11" s="1" t="s">
        <v>43</v>
      </c>
      <c r="W11" s="1">
        <v>5</v>
      </c>
      <c r="X11" s="1"/>
      <c r="Y11" s="25">
        <f>IF((W3-B6)&gt;0,W3-B6,"комплект")</f>
        <v>16</v>
      </c>
      <c r="Z11" s="3">
        <f>IF((W6-C6)&gt;0,W6-C6,"комплект")</f>
        <v>8</v>
      </c>
      <c r="AA11" s="5">
        <f>IF((W6-D6)&gt;0,W6-D6,"комплект")</f>
        <v>16</v>
      </c>
      <c r="AB11" s="25">
        <f>IF((W6-B6)&gt;0,W6-B6,"комплект")</f>
        <v>8</v>
      </c>
      <c r="AC11" s="3">
        <f>IF((W3-C6)&gt;0,W3-C6,"комплект")</f>
        <v>16</v>
      </c>
      <c r="AD11" s="5">
        <f>IF((W6-D6)&gt;0,W6-D6,"комплект")</f>
        <v>16</v>
      </c>
      <c r="AE11" s="3">
        <f>IF((W6-B6)&gt;0,W6-B6,"комплект")</f>
        <v>8</v>
      </c>
      <c r="AF11" s="3">
        <f>IF((W6-C6)&gt;0,W6-C6,"комплект")</f>
        <v>8</v>
      </c>
      <c r="AG11" s="5">
        <f>IF((W3-D6)&gt;0,W3-D6,"комплект")</f>
        <v>24</v>
      </c>
    </row>
    <row r="12" spans="1:33" ht="21.75" thickBot="1">
      <c r="A12" s="20" t="s">
        <v>19</v>
      </c>
      <c r="B12" s="22">
        <f>Лист1!B12-A21*L38-A21*Q38-A21*V38</f>
        <v>0</v>
      </c>
      <c r="C12" s="16">
        <f>Лист1!C12-A21*M38-A21*R38-A21*W38</f>
        <v>0</v>
      </c>
      <c r="D12" s="13">
        <f>Лист1!D12-A21*N38-A21*S38-A21*X38</f>
        <v>0</v>
      </c>
      <c r="E12" s="36" t="s">
        <v>15</v>
      </c>
      <c r="I12" s="268" t="s">
        <v>49</v>
      </c>
      <c r="J12" s="269"/>
      <c r="K12" s="270"/>
      <c r="O12" s="271" t="s">
        <v>47</v>
      </c>
      <c r="P12" s="272"/>
      <c r="Q12" s="273"/>
      <c r="R12" s="1"/>
      <c r="W12" s="1">
        <v>8</v>
      </c>
      <c r="X12" s="1"/>
      <c r="Y12" s="263"/>
      <c r="Z12" s="264"/>
      <c r="AA12" s="264"/>
      <c r="AB12" s="264"/>
      <c r="AC12" s="264"/>
      <c r="AD12" s="264"/>
      <c r="AE12" s="264"/>
      <c r="AF12" s="264"/>
      <c r="AG12" s="259"/>
    </row>
    <row r="13" spans="1:33" ht="16.5" thickBot="1">
      <c r="A13" s="20" t="s">
        <v>21</v>
      </c>
      <c r="B13" s="23">
        <f>Лист1!B13-A21*L39-A21*Q39-A21*V39</f>
        <v>0</v>
      </c>
      <c r="C13" s="17">
        <f>Лист1!C13-A21*M39-A21*R39-A21*W39</f>
        <v>0</v>
      </c>
      <c r="D13" s="14">
        <f>Лист1!D13-A21*N39-A21*S39-A21*X39</f>
        <v>0</v>
      </c>
      <c r="E13" s="36" t="s">
        <v>16</v>
      </c>
      <c r="I13" s="9" t="s">
        <v>3</v>
      </c>
      <c r="J13" s="10" t="s">
        <v>4</v>
      </c>
      <c r="K13" s="7" t="s">
        <v>5</v>
      </c>
      <c r="O13" s="9" t="s">
        <v>3</v>
      </c>
      <c r="P13" s="10" t="s">
        <v>4</v>
      </c>
      <c r="Q13" s="7" t="s">
        <v>5</v>
      </c>
      <c r="R13" s="1" t="s">
        <v>26</v>
      </c>
      <c r="W13" s="1">
        <v>24</v>
      </c>
      <c r="X13" s="1"/>
      <c r="Y13" s="25">
        <f>IF((W5-B5)&gt;0,W5-B5,"комплект")</f>
        <v>21</v>
      </c>
      <c r="Z13" s="3">
        <f>IF((W8-C5)&gt;0,W8-C5,"комплект")</f>
        <v>7</v>
      </c>
      <c r="AA13" s="5">
        <f>IF((W8-D5)&gt;0,W8-D5,"комплект")</f>
        <v>7</v>
      </c>
      <c r="AB13" s="25">
        <f>IF((W8-B5)&gt;0,W8-B5,"комплект")</f>
        <v>17</v>
      </c>
      <c r="AC13" s="3">
        <f>IF((W5-C5)&gt;0,W5-C5,"комплект")</f>
        <v>11</v>
      </c>
      <c r="AD13" s="5">
        <f>IF((W8-D5)&gt;0,W8-D5,"комплект")</f>
        <v>7</v>
      </c>
      <c r="AE13" s="3">
        <f>IF((W8-B5)&gt;0,W8-B5,"комплект")</f>
        <v>17</v>
      </c>
      <c r="AF13" s="3">
        <f>IF((W8-C5)&gt;0,W8-C5,"комплект")</f>
        <v>7</v>
      </c>
      <c r="AG13" s="5">
        <f>IF((W5-D5)&gt;0,W5-D5,"комплект")</f>
        <v>11</v>
      </c>
    </row>
    <row r="14" spans="1:33" ht="16.5" thickBot="1">
      <c r="A14" s="247" t="s">
        <v>25</v>
      </c>
      <c r="B14" s="248"/>
      <c r="C14" s="248"/>
      <c r="D14" s="249"/>
      <c r="E14" s="36" t="s">
        <v>18</v>
      </c>
      <c r="I14" s="27" t="e">
        <f>IF(4*W42-L9&gt;0,4*W42-L9,"комплект")</f>
        <v>#VALUE!</v>
      </c>
      <c r="J14" s="27" t="e">
        <f>IF(4*W43-M9&gt;0,4*W43-M9,"комплект")</f>
        <v>#VALUE!</v>
      </c>
      <c r="K14" s="27" t="e">
        <f>IF(4*W44-N9&gt;0,4*W44-N9,"комплект")</f>
        <v>#VALUE!</v>
      </c>
      <c r="O14" s="27" t="str">
        <f>IF(Лист4!AC41=F2,Лист1!B7,IF(Лист4!AC41=F3,Лист1!B8,IF(Лист4!AC41=F4,Лист1!B9,IF(Лист4!AC41=F5,Лист1!B10,IF(Лист4!AC41=F6,Лист1!B11,"-")))))</f>
        <v>-</v>
      </c>
      <c r="P14" s="27" t="str">
        <f>IF(Лист4!AC41=F2,Лист1!C7,IF(Лист4!AC41=F3,Лист1!C8,IF(Лист4!AC41=F4,Лист1!C9,IF(Лист4!AC41=F5,Лист1!C10,IF(Лист4!AC41=F6,Лист1!C11,"-")))))</f>
        <v>-</v>
      </c>
      <c r="Q14" s="75" t="str">
        <f>IF(Лист4!AC41=F2,Лист1!D7,IF(Лист4!AC41=F3,Лист1!D8,IF(Лист4!AC41=F4,Лист1!D9,IF(Лист4!AC41=F5,Лист1!D10,IF(Лист4!AC41=F6,Лист1!D11,"-")))))</f>
        <v>-</v>
      </c>
      <c r="R14" s="1" t="s">
        <v>28</v>
      </c>
      <c r="S14" s="1"/>
      <c r="T14" s="1"/>
      <c r="U14" s="1" t="s">
        <v>51</v>
      </c>
      <c r="V14" s="1" t="s">
        <v>52</v>
      </c>
      <c r="W14" s="1" t="s">
        <v>53</v>
      </c>
      <c r="X14" s="1"/>
      <c r="Y14" s="25">
        <f>IF((W4-B6)&gt;0,W4-B6,"комплект")</f>
        <v>13</v>
      </c>
      <c r="Z14" s="3">
        <f>IF((W7-C6)&gt;0,W7-C6,"комплект")</f>
        <v>7</v>
      </c>
      <c r="AA14" s="5">
        <f>IF((W7-D6)&gt;0,W7-D6,"комплект")</f>
        <v>15</v>
      </c>
      <c r="AB14" s="25">
        <f>IF((W7-B6)&gt;0,W7-B6,"комплект")</f>
        <v>7</v>
      </c>
      <c r="AC14" s="3">
        <f>IF((W4-C6)&gt;0,W4-C6,"комплект")</f>
        <v>13</v>
      </c>
      <c r="AD14" s="5">
        <f>IF((W7-D6)&gt;0,W7-D6,"комплект")</f>
        <v>15</v>
      </c>
      <c r="AE14" s="3">
        <f>IF((W7-B6)&gt;0,W7-B6,"комплект")</f>
        <v>7</v>
      </c>
      <c r="AF14" s="3">
        <f>IF((W7-C6)&gt;0,W7-C6,"комплект")</f>
        <v>7</v>
      </c>
      <c r="AG14" s="5">
        <f>IF((W4-D6)&gt;0,W4-D6,"комплект")</f>
        <v>21</v>
      </c>
    </row>
    <row r="15" spans="1:33" ht="16.5" thickBot="1">
      <c r="E15" s="36" t="s">
        <v>19</v>
      </c>
      <c r="I15" s="74" t="e">
        <f>IF(5*W42-L10&gt;0,5*W42-L10,"комплект")</f>
        <v>#VALUE!</v>
      </c>
      <c r="J15" s="74" t="e">
        <f>IF(5*W43-M10&gt;0,5*W43-M10,"комплект")</f>
        <v>#VALUE!</v>
      </c>
      <c r="K15" s="74" t="e">
        <f>IF(5*W44-N10&gt;0,5*W44-N10,"комплект")</f>
        <v>#VALUE!</v>
      </c>
      <c r="O15" s="28" t="str">
        <f>IF(Лист4!AC41=F2,Лист1!B8,IF(Лист4!AC41=F3,Лист1!B9,IF(Лист4!AC41=F4,Лист1!B10,IF(Лист4!AC41=F5,Лист1!B11,IF(Лист4!AC41=F6,Лист1!B12,"-")))))</f>
        <v>-</v>
      </c>
      <c r="P15" s="28" t="str">
        <f>IF(Лист4!AC41=F2,Лист1!C8,IF(Лист4!AC41=F3,Лист1!C9,IF(Лист4!AC41=F4,Лист1!C10,IF(Лист4!AC41=F5,Лист1!C11,IF(Лист4!AC41=F6,Лист1!C12,"-")))))</f>
        <v>-</v>
      </c>
      <c r="Q15" s="76" t="str">
        <f>IF(Лист4!AC41=F2,Лист1!D8,IF(Лист4!AC41=F3,Лист1!D9,IF(Лист4!AC41=F4,Лист1!D10,IF(Лист4!AC41=F5,Лист1!D11,IF(Лист4!AC41=F6,Лист1!D12,"-")))))</f>
        <v>-</v>
      </c>
      <c r="R15" s="1" t="s">
        <v>9</v>
      </c>
      <c r="S15" s="1"/>
      <c r="T15" s="1">
        <f>IF(Лист4!Y42=V42,3,IF(Лист4!Y42=V41,0,1))</f>
        <v>1</v>
      </c>
      <c r="U15" s="1">
        <f>IF(Лист1!S10=V42,3,IF(Лист1!S10=V41,0,1))</f>
        <v>1</v>
      </c>
      <c r="V15" s="1">
        <f>IF(Лист1!O10=V42,3,IF(Лист1!O10=V41,0,1))</f>
        <v>3</v>
      </c>
      <c r="W15" s="1">
        <f>IF(Лист1!K10=V42,3,IF(Лист1!K10=V41,0,1))</f>
        <v>1</v>
      </c>
      <c r="X15" s="1" t="s">
        <v>54</v>
      </c>
      <c r="Y15" s="25">
        <f>IF((W3-B7)&gt;0,W3-B7,"комплект")</f>
        <v>18</v>
      </c>
      <c r="Z15" s="3">
        <f>IF((W6-C7)&gt;0,W6-C7,"комплект")</f>
        <v>10</v>
      </c>
      <c r="AA15" s="5">
        <f>IF((W6-D7)&gt;0,W6-D7,"комплект")</f>
        <v>22</v>
      </c>
      <c r="AB15" s="25">
        <f>IF((W6-B7)&gt;0,W6-B7,"комплект")</f>
        <v>10</v>
      </c>
      <c r="AC15" s="3">
        <f>IF((W3-C7)&gt;0,W3-C7,"комплект")</f>
        <v>18</v>
      </c>
      <c r="AD15" s="5">
        <f>IF((W6-D7)&gt;0,W6-D7,"комплект")</f>
        <v>22</v>
      </c>
      <c r="AE15" s="3">
        <f>IF((W6-B7)&gt;0,W6-B7,"комплект")</f>
        <v>10</v>
      </c>
      <c r="AF15" s="3">
        <f>IF((W6-C7)&gt;0,W6-C7,"комплект")</f>
        <v>10</v>
      </c>
      <c r="AG15" s="5">
        <f>IF((W3-D7)&gt;0,W3-D7,"комплект")</f>
        <v>30</v>
      </c>
    </row>
    <row r="16" spans="1:33" ht="16.5" thickBot="1">
      <c r="E16" s="36" t="s">
        <v>21</v>
      </c>
      <c r="I16" s="81" t="s">
        <v>57</v>
      </c>
      <c r="J16" s="80" t="s">
        <v>57</v>
      </c>
      <c r="K16" s="79" t="s">
        <v>57</v>
      </c>
      <c r="O16" s="32" t="str">
        <f>IF(Лист4!AC41=F2,Лист1!B9,IF(Лист4!AC41=F3,Лист1!B10,IF(Лист4!AC41=F4,Лист1!B11,IF(Лист4!AC41=F5,Лист1!B12,IF(Лист4!AC41=F6,Лист1!B13,"-")))))</f>
        <v>-</v>
      </c>
      <c r="P16" s="32" t="str">
        <f>IF(Лист4!AC41=F2,Лист1!C9,IF(Лист4!AC41=F3,Лист1!C10,IF(Лист4!AC41=F4,Лист1!C11,IF(Лист4!AC41=F5,Лист1!C12,IF(Лист4!AC41=F6,Лист1!C13,"-")))))</f>
        <v>-</v>
      </c>
      <c r="Q16" s="77" t="str">
        <f>IF(Лист4!AC41=F2,Лист1!D9,IF(Лист4!AC41=F3,Лист1!D10,IF(Лист4!AC41=F4,Лист1!D11,IF(Лист4!AC41=F5,Лист1!D12,IF(Лист4!AC41=F6,Лист1!D13,"-")))))</f>
        <v>-</v>
      </c>
      <c r="R16" s="1"/>
      <c r="S16" s="1"/>
      <c r="T16" s="1">
        <f>IF(Лист4!Y42=V43,3,IF(Лист4!Y42=V41,0,1))</f>
        <v>1</v>
      </c>
      <c r="U16" s="1">
        <f>IF(Лист1!S10=V43,3,IF(Лист1!S10=V41,0,1))</f>
        <v>3</v>
      </c>
      <c r="V16" s="1">
        <f>IF(Лист1!O10=V43,3,IF(Лист1!O10=V41,0,1))</f>
        <v>1</v>
      </c>
      <c r="W16" s="1">
        <f>IF(Лист1!K10=V43,3,IF(Лист1!K10=V41,0,1))</f>
        <v>1</v>
      </c>
      <c r="X16" s="1" t="s">
        <v>55</v>
      </c>
      <c r="Y16" s="263"/>
      <c r="Z16" s="264"/>
      <c r="AA16" s="264"/>
      <c r="AB16" s="264"/>
      <c r="AC16" s="264"/>
      <c r="AD16" s="264"/>
      <c r="AE16" s="264"/>
      <c r="AF16" s="264"/>
      <c r="AG16" s="259"/>
    </row>
    <row r="17" spans="1:33" ht="15.75" thickBot="1">
      <c r="R17" s="1"/>
      <c r="S17" s="1"/>
      <c r="T17" s="1">
        <f>IF(Лист4!Y42=V44,3,IF(Лист4!Y42=V41,0,1))</f>
        <v>3</v>
      </c>
      <c r="U17" s="1">
        <f>IF(Лист1!S10=V44,3,IF(Лист1!S10=V41,0,1))</f>
        <v>1</v>
      </c>
      <c r="V17" s="1">
        <f>IF(Лист1!O10=V44,3,IF(Лист1!O10=V41,0,1))</f>
        <v>1</v>
      </c>
      <c r="W17" s="1">
        <f>IF(Лист1!K10=V44,3,IF(Лист1!K10=V41,0,1))</f>
        <v>3</v>
      </c>
      <c r="X17" s="1" t="s">
        <v>56</v>
      </c>
      <c r="Y17" s="25">
        <f>IF((W3-B6)&gt;0,W3-B6,"комплект")</f>
        <v>16</v>
      </c>
      <c r="Z17" s="3">
        <f>IF((W6-C6)&gt;0,W6-C6,"комплект")</f>
        <v>8</v>
      </c>
      <c r="AA17" s="5">
        <f>IF((W6-D6)&gt;0,W6-D6,"комплект")</f>
        <v>16</v>
      </c>
      <c r="AB17" s="25">
        <f>IF((W6-B6)&gt;0,W6-B6,"комплект")</f>
        <v>8</v>
      </c>
      <c r="AC17" s="3">
        <f>IF((W3-C6)&gt;0,W3-C6,"комплект")</f>
        <v>16</v>
      </c>
      <c r="AD17" s="5">
        <f>IF((W6-D6)&gt;0,W6-D6,"комплект")</f>
        <v>16</v>
      </c>
      <c r="AE17" s="3">
        <f>IF((W6-B6)&gt;0,W6-B6,"комплект")</f>
        <v>8</v>
      </c>
      <c r="AF17" s="3">
        <f>IF((W6-C6)&gt;0,W6-C6,"комплект")</f>
        <v>8</v>
      </c>
      <c r="AG17" s="5">
        <f>IF((W3-D6)&gt;0,W3-D6,"комплект")</f>
        <v>24</v>
      </c>
    </row>
    <row r="18" spans="1:33">
      <c r="F18" s="274" t="s">
        <v>1</v>
      </c>
      <c r="G18" s="274"/>
      <c r="H18" s="274"/>
      <c r="I18" s="274"/>
      <c r="J18" s="274"/>
      <c r="K18" s="274"/>
      <c r="L18" s="274" t="s">
        <v>2</v>
      </c>
      <c r="M18" s="274"/>
      <c r="N18" s="274"/>
      <c r="O18" s="274"/>
      <c r="P18" s="274"/>
      <c r="Q18" s="274"/>
      <c r="R18" s="1"/>
      <c r="S18" s="1"/>
      <c r="T18" s="1"/>
      <c r="U18" s="1"/>
      <c r="V18" s="1"/>
      <c r="W18" s="44"/>
      <c r="X18" s="1"/>
      <c r="Y18" s="25">
        <f>IF((W2-B7)&gt;0,W2-B7,"комплект")</f>
        <v>24</v>
      </c>
      <c r="Z18" s="3">
        <f>IF((W5-C7)&gt;0,W5-C7,"комплект")</f>
        <v>12</v>
      </c>
      <c r="AA18" s="5">
        <f>IF((W5-D7)&gt;0,W5-D7,"комплект")</f>
        <v>24</v>
      </c>
      <c r="AB18" s="25">
        <f>IF((W5-B7)&gt;0,W5-B7,"комплект")</f>
        <v>12</v>
      </c>
      <c r="AC18" s="3">
        <f>IF((W2-C7)&gt;0,W2-C7,"комплект")</f>
        <v>24</v>
      </c>
      <c r="AD18" s="5">
        <f>IF((W5-D7)&gt;0,W5-D7,"комплект")</f>
        <v>24</v>
      </c>
      <c r="AE18" s="3">
        <f>IF((W5-B7)&gt;0,W5-B7,"комплект")</f>
        <v>12</v>
      </c>
      <c r="AF18" s="3">
        <f>IF((W5-C7)&gt;0,W5-C7,"комплект")</f>
        <v>12</v>
      </c>
      <c r="AG18" s="5">
        <f>IF((W2-D7)&gt;0,W2-D7,"комплект")</f>
        <v>36</v>
      </c>
    </row>
    <row r="19" spans="1:33"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1"/>
      <c r="S19" s="1"/>
      <c r="T19" s="1"/>
      <c r="U19" s="1"/>
      <c r="V19" s="1"/>
      <c r="W19" s="45"/>
      <c r="X19" s="1"/>
      <c r="Y19" s="25">
        <f>IF((W13-B8)&gt;0,W13-B8,"комплект")</f>
        <v>32</v>
      </c>
      <c r="Z19" s="3">
        <f>IF((W12-C8)&gt;0,W12-C8,"комплект")</f>
        <v>16</v>
      </c>
      <c r="AA19" s="5">
        <f>IF((W12-D8)&gt;0,W12-D8,"комплект")</f>
        <v>32</v>
      </c>
      <c r="AB19" s="25">
        <f>IF((W12-B8)&gt;0,W12-B8,"комплект")</f>
        <v>16</v>
      </c>
      <c r="AC19" s="3">
        <f>IF((W13-C8)&gt;0,W13-C8,"комплект")</f>
        <v>32</v>
      </c>
      <c r="AD19" s="5">
        <f>IF((W12-D8)&gt;0,W12-D8,"комплект")</f>
        <v>32</v>
      </c>
      <c r="AE19" s="3">
        <f>IF((W12-B8)&gt;0,W12-B8,"комплект")</f>
        <v>16</v>
      </c>
      <c r="AF19" s="3">
        <f>IF((W12-C8)&gt;0,W12-C8,"комплект")</f>
        <v>16</v>
      </c>
      <c r="AG19" s="5">
        <f>IF((W13-D8)&gt;0,W13-D8,"комплект")</f>
        <v>48</v>
      </c>
    </row>
    <row r="20" spans="1:33" ht="15.75" thickBot="1">
      <c r="K20" s="41"/>
      <c r="L20" s="41"/>
      <c r="Q20" s="41"/>
      <c r="R20" s="1"/>
      <c r="S20" s="1"/>
      <c r="T20" s="1"/>
      <c r="U20" s="1"/>
      <c r="V20" s="1"/>
      <c r="W20" s="46"/>
      <c r="X20" s="1"/>
      <c r="Y20" s="263"/>
      <c r="Z20" s="264"/>
      <c r="AA20" s="264"/>
      <c r="AB20" s="264"/>
      <c r="AC20" s="264"/>
      <c r="AD20" s="264"/>
      <c r="AE20" s="264"/>
      <c r="AF20" s="264"/>
      <c r="AG20" s="259"/>
    </row>
    <row r="21" spans="1:33" ht="15.75" thickBot="1">
      <c r="A21" s="111">
        <f>IF(Лист1!F2=Лист4!J100,1,0)</f>
        <v>1</v>
      </c>
      <c r="K21" s="41"/>
      <c r="L21" s="41"/>
      <c r="Q21" s="41"/>
      <c r="R21" s="1"/>
      <c r="S21" s="1"/>
      <c r="T21" s="1"/>
      <c r="U21" s="1"/>
      <c r="V21" s="1"/>
      <c r="W21" s="1"/>
      <c r="X21" s="1"/>
      <c r="Y21" s="25">
        <f>IF((W3-B7)&gt;0,W3-B7,"комплект")</f>
        <v>18</v>
      </c>
      <c r="Z21" s="3">
        <f>IF((W6-C7)&gt;0,W6-C7,"комплект")</f>
        <v>10</v>
      </c>
      <c r="AA21" s="5">
        <f>IF((W6-D7)&gt;0,W6-D7,"комплект")</f>
        <v>22</v>
      </c>
      <c r="AB21" s="25">
        <f>IF((W6-B7)&gt;0,W6-B7,"комплект")</f>
        <v>10</v>
      </c>
      <c r="AC21" s="3">
        <f>IF((W3-C7)&gt;0,W3-C7,"комплект")</f>
        <v>18</v>
      </c>
      <c r="AD21" s="5">
        <f>IF((W6-D7)&gt;0,W6-D7,"комплект")</f>
        <v>22</v>
      </c>
      <c r="AE21" s="3">
        <f>IF((W6-B7)&gt;0,W6-B7,"комплект")</f>
        <v>10</v>
      </c>
      <c r="AF21" s="3">
        <f>IF((W6-C7)&gt;0,W6-C7,"комплект")</f>
        <v>10</v>
      </c>
      <c r="AG21" s="5">
        <f>IF((W3-D7)&gt;0,W3-D7,"комплект")</f>
        <v>30</v>
      </c>
    </row>
    <row r="22" spans="1:33">
      <c r="K22" s="41"/>
      <c r="L22" s="41"/>
      <c r="Q22" s="41"/>
      <c r="R22" s="1"/>
      <c r="S22" s="1"/>
      <c r="T22" s="1"/>
      <c r="U22" s="1"/>
      <c r="V22" s="1"/>
      <c r="W22" s="1"/>
      <c r="X22" s="1"/>
      <c r="Y22" s="25">
        <f>IF((W2-B8)&gt;0,W2-B8,"комплект")</f>
        <v>26</v>
      </c>
      <c r="Z22" s="3">
        <f>IF((W5-C8)&gt;0,W5-C8,"комплект")</f>
        <v>14</v>
      </c>
      <c r="AA22" s="5">
        <f>IF((W5-D8)&gt;0,W5-D8,"комплект")</f>
        <v>30</v>
      </c>
      <c r="AB22" s="25">
        <f>IF((W5-B8)&gt;0,W5-B8,"комплект")</f>
        <v>14</v>
      </c>
      <c r="AC22" s="3">
        <f>IF((W2-C8)&gt;0,W2-C8,"комплект")</f>
        <v>26</v>
      </c>
      <c r="AD22" s="5">
        <f>IF((W5-D8)&gt;0,W5-D8,"комплект")</f>
        <v>30</v>
      </c>
      <c r="AE22" s="3">
        <f>IF((W5-B8)&gt;0,W5-B8,"комплект")</f>
        <v>14</v>
      </c>
      <c r="AF22" s="3">
        <f>IF((W5-C8)&gt;0,W5-C8,"комплект")</f>
        <v>14</v>
      </c>
      <c r="AG22" s="5">
        <f>IF((W2-D8)&gt;0,W2-D8,"комплект")</f>
        <v>42</v>
      </c>
    </row>
    <row r="23" spans="1:33">
      <c r="K23" s="41"/>
      <c r="L23" s="41"/>
      <c r="Q23" s="41"/>
      <c r="R23" s="1"/>
      <c r="S23" s="1"/>
      <c r="T23" s="1"/>
      <c r="U23" s="1"/>
      <c r="V23" s="1"/>
      <c r="W23" s="1"/>
      <c r="X23" s="1"/>
      <c r="Y23" s="25">
        <f>IF((W13-B9)&gt;0,W13-B9,"комплект")</f>
        <v>24</v>
      </c>
      <c r="Z23" s="3">
        <f>IF((W12-C9)&gt;0,W12-C9,"комплект")</f>
        <v>8</v>
      </c>
      <c r="AA23" s="5">
        <f>IF((W12-D9)&gt;0,W12-D9,"комплект")</f>
        <v>8</v>
      </c>
      <c r="AB23" s="25">
        <f>IF((W12-B9)&gt;0,W12-B9,"комплект")</f>
        <v>8</v>
      </c>
      <c r="AC23" s="3">
        <f>IF((W13-C9)&gt;0,W13-C9,"комплект")</f>
        <v>24</v>
      </c>
      <c r="AD23" s="5">
        <f>IF((W12-D9)&gt;0,W12-D9,"комплект")</f>
        <v>8</v>
      </c>
      <c r="AE23" s="3">
        <f>IF((W12-B9)&gt;0,W12-B9,"комплект")</f>
        <v>8</v>
      </c>
      <c r="AF23" s="3">
        <f>IF((W12-C9)&gt;0,W12-C9,"комплект")</f>
        <v>8</v>
      </c>
      <c r="AG23" s="5">
        <f>IF((W13-D9)&gt;0,W13-D9,"комплект")</f>
        <v>24</v>
      </c>
    </row>
    <row r="24" spans="1:33">
      <c r="K24" s="41"/>
      <c r="L24" s="41"/>
      <c r="Q24" s="41"/>
      <c r="R24" s="1"/>
      <c r="S24" s="1"/>
      <c r="T24" s="1"/>
      <c r="U24" s="1"/>
      <c r="V24" s="1"/>
      <c r="W24" s="1"/>
      <c r="X24" s="1"/>
      <c r="Y24" s="263"/>
      <c r="Z24" s="264"/>
      <c r="AA24" s="264"/>
      <c r="AB24" s="264"/>
      <c r="AC24" s="264"/>
      <c r="AD24" s="264"/>
      <c r="AE24" s="264"/>
      <c r="AF24" s="264"/>
      <c r="AG24" s="259"/>
    </row>
    <row r="25" spans="1:33" ht="15.75" thickBot="1">
      <c r="K25" s="173" t="str">
        <f>IF(Лист1!K7=Лист4!E2,F2,IF(Лист1!K7=E3,F3,IF(Лист1!K7=E4,F4,IF(Лист1!K7=E5,F5,IF(Лист1!K7=E6,F6,IF(Лист1!K7=E1,F1,"-"))))))</f>
        <v>великий шлем</v>
      </c>
      <c r="L25" s="173"/>
      <c r="M25" s="173"/>
      <c r="N25" s="173"/>
      <c r="P25" s="258" t="str">
        <f>IF(Лист1!O7=Лист4!E2,F2,IF(Лист1!O7=E3,F3,IF(Лист1!O7=E4,F4,IF(Лист1!O7=E5,F5,IF(Лист1!O7=E6,F6,IF(Лист1!O7=E1,F1,"-"))))))</f>
        <v>великая броня поножи</v>
      </c>
      <c r="Q25" s="258"/>
      <c r="R25" s="258"/>
      <c r="S25" s="258"/>
      <c r="T25" s="1"/>
      <c r="U25" s="258" t="str">
        <f>IF(Лист1!S7=Лист4!E2,F2,IF(Лист1!S7=E3,F3,IF(Лист1!S7=E4,F4,IF(Лист1!S7=E5,F5,IF(Лист1!S7=E6,F6,IF(Лист1!S7=E1,F1,"-"))))))</f>
        <v>вещи</v>
      </c>
      <c r="V25" s="258"/>
      <c r="W25" s="258"/>
      <c r="X25" s="259"/>
      <c r="Y25" s="25">
        <f>IF((W5-B8)&gt;0,W5-B8,"комплект")</f>
        <v>14</v>
      </c>
      <c r="Z25" s="3">
        <f>IF((W8-C8)&gt;0,W8-C8,"комплект")</f>
        <v>10</v>
      </c>
      <c r="AA25" s="5">
        <f>IF((W8-D8)&gt;0,W8-D8,"комплект")</f>
        <v>26</v>
      </c>
      <c r="AB25" s="25">
        <f>IF((W8-B8)&gt;0,W8-B8,"комплект")</f>
        <v>10</v>
      </c>
      <c r="AC25" s="3">
        <f>IF((W5-C8)&gt;0,W5-C8,"комплект")</f>
        <v>14</v>
      </c>
      <c r="AD25" s="5">
        <f>IF((W8-D8)&gt;0,W8-D8,"комплект")</f>
        <v>26</v>
      </c>
      <c r="AE25" s="3">
        <f>IF((W8-B8)&gt;0,W8-B8,"комплект")</f>
        <v>10</v>
      </c>
      <c r="AF25" s="3">
        <f>IF((W8-C8)&gt;0,W8-C8,"комплект")</f>
        <v>10</v>
      </c>
      <c r="AG25" s="5">
        <f>IF((W5-D8)&gt;0,W5-D8,"комплект")</f>
        <v>30</v>
      </c>
    </row>
    <row r="26" spans="1:33" ht="15.75" thickBot="1">
      <c r="K26" s="255" t="str">
        <f>IF(Лист1!K9=Лист4!E61,Лист1!K7,IF(Лист1!K9=Лист4!E62,K25,"-"))</f>
        <v>шлем</v>
      </c>
      <c r="L26" s="256"/>
      <c r="M26" s="256"/>
      <c r="N26" s="257"/>
      <c r="P26" s="258" t="str">
        <f>IF(Лист1!O9=Лист4!E61,Лист1!O7,IF(Лист1!O9=Лист4!E62,P25,"-"))</f>
        <v>броня поножи</v>
      </c>
      <c r="Q26" s="258"/>
      <c r="R26" s="258"/>
      <c r="S26" s="258"/>
      <c r="T26" s="1"/>
      <c r="U26" s="258" t="str">
        <f>IF(Лист1!S9=Лист4!E61,Лист1!S7,IF(Лист1!S9=Лист4!E62,U25,"-"))</f>
        <v>вещи</v>
      </c>
      <c r="V26" s="258"/>
      <c r="W26" s="258"/>
      <c r="X26" s="259"/>
      <c r="Y26" s="25">
        <f>IF((W4-B9)&gt;0,W4-B9,"комплект")</f>
        <v>9</v>
      </c>
      <c r="Z26" s="3">
        <f>IF((W7-C9)&gt;0,W7-C9,"комплект")</f>
        <v>3</v>
      </c>
      <c r="AA26" s="5">
        <f>IF((W7-D9)&gt;0,W7-D9,"комплект")</f>
        <v>3</v>
      </c>
      <c r="AB26" s="25">
        <f>IF((W7-B9)&gt;0,W7-B9,"комплект")</f>
        <v>3</v>
      </c>
      <c r="AC26" s="3">
        <f>IF((W4-C9)&gt;0,W4-C9,"комплект")</f>
        <v>9</v>
      </c>
      <c r="AD26" s="5">
        <f>IF((W7-D9)&gt;0,W7-D9,"комплект")</f>
        <v>3</v>
      </c>
      <c r="AE26" s="3">
        <f>IF((W7-B9)&gt;0,W7-B9,"комплект")</f>
        <v>3</v>
      </c>
      <c r="AF26" s="3">
        <f>IF((W7-C9)&gt;0,W7-C9,"комплект")</f>
        <v>3</v>
      </c>
      <c r="AG26" s="5">
        <f>IF((W4-D9)&gt;0,W4-D9,"комплект")</f>
        <v>9</v>
      </c>
    </row>
    <row r="27" spans="1:33">
      <c r="K27" s="258" t="s">
        <v>53</v>
      </c>
      <c r="L27" s="258"/>
      <c r="M27" s="258"/>
      <c r="N27" s="258"/>
      <c r="O27" s="1"/>
      <c r="P27" s="258" t="s">
        <v>52</v>
      </c>
      <c r="Q27" s="258"/>
      <c r="R27" s="258"/>
      <c r="S27" s="258"/>
      <c r="T27" s="1"/>
      <c r="U27" s="258" t="s">
        <v>51</v>
      </c>
      <c r="V27" s="258"/>
      <c r="W27" s="258"/>
      <c r="X27" s="258"/>
      <c r="Y27" s="25">
        <f>IF((W3-B10)&gt;0,W3-B10,"комплект")</f>
        <v>12</v>
      </c>
      <c r="Z27" s="3">
        <f>IF((W6-C10)&gt;0,W6-C10,"комплект")</f>
        <v>4</v>
      </c>
      <c r="AA27" s="5">
        <f>IF((W6-D10)&gt;0,W6-D10,"комплект")</f>
        <v>4</v>
      </c>
      <c r="AB27" s="25">
        <f>IF((W6-B10)&gt;0,W6-B10,"комплект")</f>
        <v>4</v>
      </c>
      <c r="AC27" s="3">
        <f>IF((W3-C10)&gt;0,W3-C10,"комплект")</f>
        <v>12</v>
      </c>
      <c r="AD27" s="5">
        <f>IF((W6-D10)&gt;0,W6-D10,"комплект")</f>
        <v>4</v>
      </c>
      <c r="AE27" s="3">
        <f>IF((W6-B10)&gt;0,W6-B10,"комплект")</f>
        <v>4</v>
      </c>
      <c r="AF27" s="3">
        <f>IF((W6-C10)&gt;0,W6-C10,"комплект")</f>
        <v>4</v>
      </c>
      <c r="AG27" s="5">
        <f>IF((W3-D10)&gt;0,W3-D10,"комплект")</f>
        <v>12</v>
      </c>
    </row>
    <row r="28" spans="1:33">
      <c r="K28" s="258"/>
      <c r="L28" s="258"/>
      <c r="M28" s="258"/>
      <c r="N28" s="258"/>
      <c r="O28" s="1"/>
      <c r="P28" s="258"/>
      <c r="Q28" s="258"/>
      <c r="R28" s="258"/>
      <c r="S28" s="258"/>
      <c r="T28" s="1"/>
      <c r="U28" s="258"/>
      <c r="V28" s="258"/>
      <c r="W28" s="258"/>
      <c r="X28" s="258"/>
      <c r="Y28" s="263"/>
      <c r="Z28" s="264"/>
      <c r="AA28" s="264"/>
      <c r="AB28" s="264"/>
      <c r="AC28" s="264"/>
      <c r="AD28" s="264"/>
      <c r="AE28" s="264"/>
      <c r="AF28" s="264"/>
      <c r="AG28" s="259"/>
    </row>
    <row r="29" spans="1:33" ht="15.75" thickBot="1">
      <c r="K29" s="19"/>
      <c r="L29" s="18" t="s">
        <v>3</v>
      </c>
      <c r="M29" s="8" t="s">
        <v>4</v>
      </c>
      <c r="N29" s="11" t="s">
        <v>5</v>
      </c>
      <c r="O29" s="1"/>
      <c r="P29" s="19"/>
      <c r="Q29" s="18" t="s">
        <v>3</v>
      </c>
      <c r="R29" s="8" t="s">
        <v>4</v>
      </c>
      <c r="S29" s="11" t="s">
        <v>5</v>
      </c>
      <c r="T29" s="1"/>
      <c r="U29" s="19"/>
      <c r="V29" s="18" t="s">
        <v>3</v>
      </c>
      <c r="W29" s="8" t="s">
        <v>4</v>
      </c>
      <c r="X29" s="11" t="s">
        <v>5</v>
      </c>
      <c r="Y29" s="25">
        <f>IF((W5-B9)&gt;0,W5-B9,"комплект")</f>
        <v>6</v>
      </c>
      <c r="Z29" s="3">
        <f>IF((W8-C9)&gt;0,W8-C9,"комплект")</f>
        <v>2</v>
      </c>
      <c r="AA29" s="5">
        <f>IF((W8-D9)&gt;0,W8-D9,"комплект")</f>
        <v>2</v>
      </c>
      <c r="AB29" s="25">
        <f>IF((W8-B9)&gt;0,W8-B9,"комплект")</f>
        <v>2</v>
      </c>
      <c r="AC29" s="3">
        <f>IF((W5-C9)&gt;0,W5-C9,"комплект")</f>
        <v>6</v>
      </c>
      <c r="AD29" s="5">
        <f>IF((W8-D9)&gt;0,W8-D9,"комплект")</f>
        <v>2</v>
      </c>
      <c r="AE29" s="3">
        <f>IF((W8-B9)&gt;0,W8-B9,"комплект")</f>
        <v>2</v>
      </c>
      <c r="AF29" s="3">
        <f>IF((W8-C9)&gt;0,W8-C9,"комплект")</f>
        <v>2</v>
      </c>
      <c r="AG29" s="5">
        <f>IF((W5-D9)&gt;0,W5-D9,"комплект")</f>
        <v>6</v>
      </c>
    </row>
    <row r="30" spans="1:33" ht="15.75" thickBot="1">
      <c r="K30" s="20" t="s">
        <v>8</v>
      </c>
      <c r="L30" s="42">
        <f>IF(K26=R2,W2*W15,IF(K26=R3,W6*W15,IF(K26=R4,W8*W15,IF(K26=R1,0,0))))</f>
        <v>0</v>
      </c>
      <c r="M30" s="15">
        <f>IF(K26=R2,W2*W16,IF(K26=R3,W6*W16,IF(K26=R4,W8*W16,IF(K26=R1,0,0))))</f>
        <v>0</v>
      </c>
      <c r="N30" s="12">
        <f>IF(K26=R2,W2*W17,IF(K26=R3,W6*W17,IF(K26=R4,W8*W17,IF(K26=R1,0,0))))</f>
        <v>0</v>
      </c>
      <c r="O30" s="1"/>
      <c r="P30" s="20" t="s">
        <v>8</v>
      </c>
      <c r="Q30" s="42">
        <f>IF(P26=R2,W2*V15,IF(P26=R3,W6*V15,IF(P26=R4,W8*V15,IF(P26=R1,0,0))))</f>
        <v>12</v>
      </c>
      <c r="R30" s="15">
        <f>IF(P26=R2,W2*V16,IF(P26=R3,W6*V16,IF(P26=R4,W8*V16,IF(P26=R1,0,0))))</f>
        <v>4</v>
      </c>
      <c r="S30" s="12">
        <f>IF(P26=R2,W2*V17,IF(P26=R3,W6*V17,IF(P26=R4,W8*V17,IF(P26=R1,0,0))))</f>
        <v>4</v>
      </c>
      <c r="T30" s="1"/>
      <c r="U30" s="20" t="s">
        <v>8</v>
      </c>
      <c r="V30" s="42" t="str">
        <f>IF(U26=R2,W2*U15,IF(U26=AB2,W6*U15,IF(U26=R4,W8*U15,"0")))</f>
        <v>0</v>
      </c>
      <c r="W30" s="15" t="str">
        <f>IF(U26=R2,W2*U16,IF(U26=AB2,W6*U16,IF(U26=R4,W8*U16,"0")))</f>
        <v>0</v>
      </c>
      <c r="X30" s="12" t="str">
        <f>IF(U26=R2,W2*U17,IF(U26=AB2,W6*U17,IF(U26=R4,W8*U17,"0")))</f>
        <v>0</v>
      </c>
      <c r="Y30" s="25">
        <f>IF((W4-B10)&gt;0,W4-B10,"комплект")</f>
        <v>9</v>
      </c>
      <c r="Z30" s="3">
        <f>IF((W7-C10)&gt;0,W7-C10,"комплект")</f>
        <v>3</v>
      </c>
      <c r="AA30" s="5">
        <f>IF((W7-D10)&gt;0,W7-D10,"комплект")</f>
        <v>3</v>
      </c>
      <c r="AB30" s="25">
        <f>IF((W7-B10)&gt;0,W7-B10,"комплект")</f>
        <v>3</v>
      </c>
      <c r="AC30" s="3">
        <f>IF((W4-C10)&gt;0,W4-C10,"комплект")</f>
        <v>9</v>
      </c>
      <c r="AD30" s="5">
        <f>IF((W7-D10)&gt;0,W7-D10,"комплект")</f>
        <v>3</v>
      </c>
      <c r="AE30" s="3">
        <f>IF((W7-B10)&gt;0,W7-B10,"комплект")</f>
        <v>3</v>
      </c>
      <c r="AF30" s="3">
        <f>IF((W7-C10)&gt;0,W7-C10,"комплект")</f>
        <v>3</v>
      </c>
      <c r="AG30" s="5">
        <f>IF((W4-D10)&gt;0,W4-D10,"комплект")</f>
        <v>9</v>
      </c>
    </row>
    <row r="31" spans="1:33" ht="15.75" thickBot="1">
      <c r="K31" s="20" t="s">
        <v>10</v>
      </c>
      <c r="L31" s="42">
        <f>IF(K26=R3,W11*W15,IF(K26=R4,W7*W15,IF(K26=R5,W8*W15,IF(K26=R1,0,0))))</f>
        <v>0</v>
      </c>
      <c r="M31" s="15">
        <f>IF(K26=R3,W11*W16,IF(K26=R4,W7*W16,IF(K26=R5,W8*W16,IF(K26=R1,0,0))))</f>
        <v>0</v>
      </c>
      <c r="N31" s="12">
        <f>IF(K26=R3,W11*W17,IF(K26=R4,W7*W17,IF(K26=R5,W8*W17,IF(K26=R1,0,0))))</f>
        <v>0</v>
      </c>
      <c r="O31" s="1"/>
      <c r="P31" s="20" t="s">
        <v>10</v>
      </c>
      <c r="Q31" s="42">
        <f>IF(P26=R3,W11*V15,IF(P26=R4,W7*V15,IF(P26=R5,W8*V15,IF(P26=R1,0,0))))</f>
        <v>15</v>
      </c>
      <c r="R31" s="15">
        <f>IF(P26=R3,W11*V16,IF(P26=R4,W7*V16,IF(P26=R5,W8*V16,IF(P26=R1,0,0))))</f>
        <v>5</v>
      </c>
      <c r="S31" s="12">
        <f>IF(P26=R3,W11*V17,IF(P26=R4,W7*V17,IF(P26=R5,W8*V17,IF(P26=R1,0,0))))</f>
        <v>5</v>
      </c>
      <c r="T31" s="1"/>
      <c r="U31" s="20" t="s">
        <v>10</v>
      </c>
      <c r="V31" s="42" t="str">
        <f>IF(U26=R3,W11*U15,IF(U26=R4,W7*U15,IF(U26=R5,W8*U15,"0")))</f>
        <v>0</v>
      </c>
      <c r="W31" s="15" t="str">
        <f>IF(U26=R3,W11*U16,IF(U26=R4,W7*U16,IF(U26=R5,W8*U16,"0")))</f>
        <v>0</v>
      </c>
      <c r="X31" s="12" t="str">
        <f>IF(U26=R3,W11*U17,IF(U26=R4,W7*U17,IF(U26=R5,W8*U17,"0")))</f>
        <v>0</v>
      </c>
      <c r="Y31" s="25">
        <f>IF((W3-B11)&gt;0,W3-B11,"комплект")</f>
        <v>12</v>
      </c>
      <c r="Z31" s="3">
        <f>IF((W6-C11)&gt;0,W6-C11,"комплект")</f>
        <v>4</v>
      </c>
      <c r="AA31" s="5">
        <f>IF((W6-D11)&gt;0,W6-D11,"комплект")</f>
        <v>4</v>
      </c>
      <c r="AB31" s="25">
        <f>IF((W6-B11)&gt;0,W6-B11,"комплект")</f>
        <v>4</v>
      </c>
      <c r="AC31" s="3">
        <f>IF((W3-C11)&gt;0,W3-C11,"комплект")</f>
        <v>12</v>
      </c>
      <c r="AD31" s="5">
        <f>IF((W6-D11)&gt;0,W6-D11,"комплект")</f>
        <v>4</v>
      </c>
      <c r="AE31" s="3">
        <f>IF((W6-B11)&gt;0,W6-B11,"комплект")</f>
        <v>4</v>
      </c>
      <c r="AF31" s="3">
        <f>IF((W6-C11)&gt;0,W6-C11,"комплект")</f>
        <v>4</v>
      </c>
      <c r="AG31" s="5">
        <f>IF((W3-D11)&gt;0,W3-D11,"комплект")</f>
        <v>12</v>
      </c>
    </row>
    <row r="32" spans="1:33" ht="15.75" thickBot="1">
      <c r="K32" s="20" t="s">
        <v>12</v>
      </c>
      <c r="L32" s="42">
        <f>IF(K26=R4,W6*W15,IF(K26=R5,W7*W15,IF(K26=R6,W6*W15,0)))</f>
        <v>4</v>
      </c>
      <c r="M32" s="15">
        <f>IF(K26=R4,W6*W16,IF(K26=R5,W7*W16,IF(K26=R6,W6*W16,0)))</f>
        <v>4</v>
      </c>
      <c r="N32" s="12">
        <f>IF(K26=R4,W6*W17,IF(K26=R5,W7*W17,IF(K26=R6,W6*W17,0)))</f>
        <v>12</v>
      </c>
      <c r="O32" s="1"/>
      <c r="P32" s="20" t="s">
        <v>12</v>
      </c>
      <c r="Q32" s="42">
        <f>IF(P26=R4,W6*V15,IF(P26=R5,W7*V15,IF(P26=R6,W6*V15,0)))</f>
        <v>0</v>
      </c>
      <c r="R32" s="15">
        <f>IF(P26=R4,W6*V16,IF(P26=R5,W7*V16,IF(P26=R6,W6*V16,0)))</f>
        <v>0</v>
      </c>
      <c r="S32" s="12">
        <f>IF(P26=R4,W6*V17,IF(P26=R5,W7*V17,IF(P26=R6,W6*V17,0)))</f>
        <v>0</v>
      </c>
      <c r="T32" s="1"/>
      <c r="U32" s="20" t="s">
        <v>12</v>
      </c>
      <c r="V32" s="42">
        <f>IF(U26=R4,W6*U15,IF(U26=R5,W7*U15,IF(U26=R6,W6*U15,0)))</f>
        <v>0</v>
      </c>
      <c r="W32" s="15">
        <f>IF(U26=R4,W6*U16,IF(U26=R5,W7*U16,IF(U26=R6,W6*U16,0)))</f>
        <v>0</v>
      </c>
      <c r="X32" s="12">
        <f>IF(U26=R4,W6*U17,IF(U26=R5,W7*U17,IF(U26=R6,W6*U17,0)))</f>
        <v>0</v>
      </c>
      <c r="Y32" s="263"/>
      <c r="Z32" s="264"/>
      <c r="AA32" s="264"/>
      <c r="AB32" s="264"/>
      <c r="AC32" s="264"/>
      <c r="AD32" s="264"/>
      <c r="AE32" s="264"/>
      <c r="AF32" s="264"/>
      <c r="AG32" s="259"/>
    </row>
    <row r="33" spans="11:33" ht="15.75" thickBot="1">
      <c r="K33" s="20" t="s">
        <v>13</v>
      </c>
      <c r="L33" s="42">
        <f>IF(K26=R5,W6*W15,IF(K26=R6,W5*W15,IF(K26=R7,W6*W15,0)))</f>
        <v>6</v>
      </c>
      <c r="M33" s="15">
        <f>IF(K26=R5,W6*W16,IF(K26=R6,W5*W16,IF(K26=R7,W6*W16,0)))</f>
        <v>6</v>
      </c>
      <c r="N33" s="12">
        <f>IF(K26=R5,W6*W17,IF(K26=R6,W5*W17,IF(K26=R7,W6*W17,0)))</f>
        <v>18</v>
      </c>
      <c r="O33" s="1"/>
      <c r="P33" s="20" t="s">
        <v>13</v>
      </c>
      <c r="Q33" s="42">
        <f>IF(P26=R5,W6*V15,IF(P26=R6,W5*V15,IF(P26=R7,W6*V15,0)))</f>
        <v>0</v>
      </c>
      <c r="R33" s="15">
        <f>IF(P26=R5,W6*V16,IF(P26=R6,W5*V16,IF(P26=R7,W6*V16,0)))</f>
        <v>0</v>
      </c>
      <c r="S33" s="12">
        <f>IF(P26=R5,W6*V17,IF(P26=R6,W5*V17,IF(P26=R7,W6*V17,0)))</f>
        <v>0</v>
      </c>
      <c r="T33" s="1"/>
      <c r="U33" s="20" t="s">
        <v>13</v>
      </c>
      <c r="V33" s="42">
        <f>IF(U26=R5,W6*U15,IF(U26=R6,W5*U15,IF(U26=R7,W6*U15,0)))</f>
        <v>0</v>
      </c>
      <c r="W33" s="15">
        <f>IF(U26=R5,W6*U16,IF(U26=R6,W5*U16,IF(U26=R7,W6*U16,0)))</f>
        <v>0</v>
      </c>
      <c r="X33" s="12">
        <f>IF(U26=R5,W6*U17,IF(U26=R6,W5*U17,IF(U26=R7,W6*U17,0)))</f>
        <v>0</v>
      </c>
      <c r="Y33" s="25">
        <f>IF((W5-B10)&gt;0,W5-B10,"комплект")</f>
        <v>6</v>
      </c>
      <c r="Z33" s="3">
        <f>IF((W8-C10)&gt;0,W8-C10,"комплект")</f>
        <v>2</v>
      </c>
      <c r="AA33" s="5">
        <f>IF((W8-D10)&gt;0,W8-D10,"комплект")</f>
        <v>2</v>
      </c>
      <c r="AB33" s="25">
        <f>IF((W8-B10)&gt;0,W8-B10,"комплект")</f>
        <v>2</v>
      </c>
      <c r="AC33" s="3">
        <f>IF((W5-C10)&gt;0,W5-C10,"комплект")</f>
        <v>6</v>
      </c>
      <c r="AD33" s="5">
        <f>IF((W8-D10)&gt;0,W8-D10,"комплект")</f>
        <v>2</v>
      </c>
      <c r="AE33" s="3">
        <f>IF((W8-B10)&gt;0,W8-B10,"комплект")</f>
        <v>2</v>
      </c>
      <c r="AF33" s="3">
        <f>IF((W8-C10)&gt;0,W8-C10,"комплект")</f>
        <v>2</v>
      </c>
      <c r="AG33" s="5">
        <f>IF((W5-D10)&gt;0,W5-D10,"комплект")</f>
        <v>6</v>
      </c>
    </row>
    <row r="34" spans="11:33" ht="15.75" thickBot="1">
      <c r="K34" s="20" t="s">
        <v>14</v>
      </c>
      <c r="L34" s="42">
        <f>IF(K26=R6,W12*W15,IF(K26=R7,W5*W15,IF(K26=R8,W8*W15,0)))</f>
        <v>8</v>
      </c>
      <c r="M34" s="42">
        <f>IF(K26=R6,W12*W16,IF(K26=R7,W5*W16,IF(K26=R8,W8*W16,0)))</f>
        <v>8</v>
      </c>
      <c r="N34" s="42">
        <f>IF(K26=R6,W12*W17,IF(K26=R7,W5*W17,IF(K26=R8,W8*W17,0)))</f>
        <v>24</v>
      </c>
      <c r="O34" s="1"/>
      <c r="P34" s="20" t="s">
        <v>14</v>
      </c>
      <c r="Q34" s="42">
        <f>IF(P26=R6,W12*V15,IF(P26=R7,W5*V15,IF(P26=R8,W8*V15,0)))</f>
        <v>0</v>
      </c>
      <c r="R34" s="42">
        <f>IF(P26=R6,W12*V16,IF(P26=R7,W5*V16,IF(P26=R8,W8*V16,0)))</f>
        <v>0</v>
      </c>
      <c r="S34" s="42">
        <f>IF(P26=R6,W12*V17,IF(P26=R7,W5*V17,IF(P26=R8,W8*V17,0)))</f>
        <v>0</v>
      </c>
      <c r="T34" s="1"/>
      <c r="U34" s="20" t="s">
        <v>14</v>
      </c>
      <c r="V34" s="42">
        <f>IF(U26=R6,W12*U15,IF(U26=R7,W5*U15,IF(U26=R8,W8*U15,0)))</f>
        <v>0</v>
      </c>
      <c r="W34" s="42">
        <f>IF(U26=R6,W12*U16,IF(U26=R7,W5*U16,IF(U26=R8,W8*U16,0)))</f>
        <v>0</v>
      </c>
      <c r="X34" s="42">
        <f>IF(U26=R6,W12*U17,IF(U26=R7,W5*U17,IF(U26=R8,W6*U17,0)))</f>
        <v>0</v>
      </c>
      <c r="Y34" s="25">
        <f>IF((W4-B11)&gt;0,W4-B11,"комплект")</f>
        <v>9</v>
      </c>
      <c r="Z34" s="3">
        <f>IF((W7-C11)&gt;0,W7-C11,"комплект")</f>
        <v>3</v>
      </c>
      <c r="AA34" s="5">
        <f>IF((W7-D11)&gt;0,W7-D11,"комплект")</f>
        <v>3</v>
      </c>
      <c r="AB34" s="25">
        <f>IF((W7-B11)&gt;0,W7-B11,"комплект")</f>
        <v>3</v>
      </c>
      <c r="AC34" s="3">
        <f>IF((W4-C11)&gt;0,W4-C11,"комплект")</f>
        <v>9</v>
      </c>
      <c r="AD34" s="5">
        <f>IF((W7-D11)&gt;0,W7-D11,"комплект")</f>
        <v>3</v>
      </c>
      <c r="AE34" s="3">
        <f>IF((W7-B11)&gt;0,W7-B11,"комплект")</f>
        <v>3</v>
      </c>
      <c r="AF34" s="3">
        <f>IF((W7-C11)&gt;0,W7-C11,"комплект")</f>
        <v>3</v>
      </c>
      <c r="AG34" s="5">
        <f>IF((W4-D11)&gt;0,W4-D11,"комплект")</f>
        <v>9</v>
      </c>
    </row>
    <row r="35" spans="11:33" ht="15.75" thickBot="1">
      <c r="K35" s="20" t="s">
        <v>15</v>
      </c>
      <c r="L35" s="42">
        <f>IF(K26=R7,W12*W15,IF(K26=R8,W7*W15,IF(K26=R9,W8*W15,0)))</f>
        <v>0</v>
      </c>
      <c r="M35" s="15">
        <f>IF(K26=R7,W12*W16,IF(K26=R8,W7*W16,IF(K26=R9,W8*W16,0)))</f>
        <v>0</v>
      </c>
      <c r="N35" s="12">
        <f>IF(K26=R7,W12*W17,IF(K26=R8,W7*W17,IF(K26=R9,W8*W17,0)))</f>
        <v>0</v>
      </c>
      <c r="O35" s="1"/>
      <c r="P35" s="20" t="s">
        <v>15</v>
      </c>
      <c r="Q35" s="42">
        <f>IF(P26=R7,W12*V15,IF(P26=R8,W7*V15,IF(P26=R9,W8*V15,0)))</f>
        <v>0</v>
      </c>
      <c r="R35" s="15">
        <f>IF(P26=R7,W12*V16,IF(P26=R8,W7*V16,IF(P26=R9,W8*V16,0)))</f>
        <v>0</v>
      </c>
      <c r="S35" s="12">
        <f>IF(P26=R7,W12*V17,IF(P26=R8,W7*V17,IF(P26=R9,W8*V17,0)))</f>
        <v>0</v>
      </c>
      <c r="T35" s="1"/>
      <c r="U35" s="20" t="s">
        <v>15</v>
      </c>
      <c r="V35" s="42">
        <f>IF(U26=R7,W12*U15,IF(U26=R8,W7*U15,IF(U26=R9,W8*U15,0)))</f>
        <v>0</v>
      </c>
      <c r="W35" s="15">
        <f>IF(U26=R7,W12*U16,IF(U26=R8,W7*U16,IF(U26=R9,W8*U16,0)))</f>
        <v>0</v>
      </c>
      <c r="X35" s="12">
        <f>IF(U26=R7,W12*U17,IF(U26=R8,W7*U17,IF(U26=R9,W8*U17,0)))</f>
        <v>0</v>
      </c>
      <c r="Y35" s="25">
        <f>IF((W3-B12)&gt;0,W3-B12,"комплект")</f>
        <v>12</v>
      </c>
      <c r="Z35" s="3">
        <f>IF((W6-C12)&gt;0,W6-C12,"комплект")</f>
        <v>4</v>
      </c>
      <c r="AA35" s="5">
        <f>IF((W6-D12)&gt;0,W6-D12,"комплект")</f>
        <v>4</v>
      </c>
      <c r="AB35" s="25">
        <f>IF((W6-B12)&gt;0,W6-B12,"комплект")</f>
        <v>4</v>
      </c>
      <c r="AC35" s="3">
        <f>IF((W3-C12)&gt;0,W3-C12,"комплект")</f>
        <v>12</v>
      </c>
      <c r="AD35" s="5">
        <f>IF((W6-D12)&gt;0,W6-D12,"комплект")</f>
        <v>4</v>
      </c>
      <c r="AE35" s="3">
        <f>IF((W6-B12)&gt;0,W6-B12,"комплект")</f>
        <v>4</v>
      </c>
      <c r="AF35" s="3">
        <f>IF((W6-C12)&gt;0,W6-C12,"комплект")</f>
        <v>4</v>
      </c>
      <c r="AG35" s="5">
        <f>IF((W3-D12)&gt;0,W3-D12,"комплект")</f>
        <v>12</v>
      </c>
    </row>
    <row r="36" spans="11:33" ht="15.75" thickBot="1">
      <c r="K36" s="20" t="s">
        <v>16</v>
      </c>
      <c r="L36" s="42">
        <f>IF(K26=R8,W6*W15,IF(K26=R9,W7*W15,IF(K26=R10,W8*W15,0)))</f>
        <v>0</v>
      </c>
      <c r="M36" s="15">
        <f>IF(K26=R8,W6*W16,IF(K26=R9,W7*W16,IF(K26=R10,W8*W16,0)))</f>
        <v>0</v>
      </c>
      <c r="N36" s="12">
        <f>IF(K26=R8,W6*W17,IF(K26=R9,W7*W17,IF(K26=R10,W8*W17,0)))</f>
        <v>0</v>
      </c>
      <c r="O36" s="1"/>
      <c r="P36" s="20" t="s">
        <v>16</v>
      </c>
      <c r="Q36" s="42">
        <f>IF(P26=R8,W6*V15,IF(P26=R9,W7*V15,IF(P26=R10,W8*V15,0)))</f>
        <v>0</v>
      </c>
      <c r="R36" s="15">
        <f>IF(P26=R8,W6*V16,IF(P26=R9,W7*V16,IF(P26=R10,W8*V16,0)))</f>
        <v>0</v>
      </c>
      <c r="S36" s="12">
        <f>IF(P26=R8,W6*V17,IF(P26=R9,W7*V17,IF(P26=R10,W8*V17,0)))</f>
        <v>0</v>
      </c>
      <c r="T36" s="1"/>
      <c r="U36" s="20" t="s">
        <v>16</v>
      </c>
      <c r="V36" s="42">
        <f>IF(U26=R8,W6*U15,IF(U26=R9,W7*U15,IF(U26=R10,W8*U15,0)))</f>
        <v>0</v>
      </c>
      <c r="W36" s="15">
        <f>IF(U26=R8,W6*U16,IF(U26=R9,W7*U16,IF(U26=R10,W8*U16,0)))</f>
        <v>0</v>
      </c>
      <c r="X36" s="12">
        <f>IF(U26=R8,W6*U17,IF(U26=R9,W7*U17,IF(U26=R10,W8*U17,0)))</f>
        <v>0</v>
      </c>
      <c r="Y36" s="263" t="s">
        <v>33</v>
      </c>
      <c r="Z36" s="264"/>
      <c r="AA36" s="264"/>
      <c r="AB36" s="264"/>
      <c r="AC36" s="264"/>
      <c r="AD36" s="264"/>
      <c r="AE36" s="264"/>
      <c r="AF36" s="264"/>
      <c r="AG36" s="259"/>
    </row>
    <row r="37" spans="11:33" ht="15.75" thickBot="1">
      <c r="K37" s="20" t="s">
        <v>18</v>
      </c>
      <c r="L37" s="42">
        <f>IF(K26=R9,W6*W15,IF(K26=R10,W7*W15,IF(K26=R11,W6*W15,0)))</f>
        <v>0</v>
      </c>
      <c r="M37" s="16">
        <f>IF(K26=R9,W6*W16,IF(K26=R10,W7*W16,IF(K26=R11,W6*W16,0)))</f>
        <v>0</v>
      </c>
      <c r="N37" s="13">
        <f>IF(K26=R9,W6*W17,IF(K26=R10,W7*W17,IF(K26=R11,W6*W17,0)))</f>
        <v>0</v>
      </c>
      <c r="O37" s="1"/>
      <c r="P37" s="20" t="s">
        <v>18</v>
      </c>
      <c r="Q37" s="42">
        <f>IF(P26=R9,W6*V15,IF(P26=R10,W7*V15,IF(P26=R11,W6*V15,0)))</f>
        <v>0</v>
      </c>
      <c r="R37" s="16">
        <f>IF(P26=R9,W6*V16,IF(P26=R10,W7*V16,IF(P26=R11,W6*V16,0)))</f>
        <v>0</v>
      </c>
      <c r="S37" s="13">
        <f>IF(P26=R9,W6*V17,IF(P26=R10,W7*V17,IF(P26=R11,W6*V17,0)))</f>
        <v>0</v>
      </c>
      <c r="T37" s="1"/>
      <c r="U37" s="20" t="s">
        <v>18</v>
      </c>
      <c r="V37" s="42">
        <f>IF(U26=R9,W6*U15,IF(U26=R10,W7*U15,IF(U26=R11,W6*U15,0)))</f>
        <v>0</v>
      </c>
      <c r="W37" s="16">
        <f>IF(U26=R9,W6*U16,IF(U26=R10,W7*U16,IF(U26=R11,W6*U16,0)))</f>
        <v>0</v>
      </c>
      <c r="X37" s="13">
        <f>IF(U26=R9,W6*U17,IF(U26=R10,W7*U17,IF(U26=R11,W6*U17,0)))</f>
        <v>0</v>
      </c>
      <c r="Y37" s="25">
        <f>IF((W3-B11)&gt;0,W3-B11,"комплект")</f>
        <v>12</v>
      </c>
      <c r="Z37" s="3">
        <f>IF((W6-C11)&gt;0,W6-C11,"комплект")</f>
        <v>4</v>
      </c>
      <c r="AA37" s="5">
        <f>IF((W6-D11)&gt;0,W6-D11,"комплект")</f>
        <v>4</v>
      </c>
      <c r="AB37" s="25">
        <f>IF((W6-B11)&gt;0,W6-B11,"комплект")</f>
        <v>4</v>
      </c>
      <c r="AC37" s="3">
        <f>IF((W3-C11)&gt;0,W3-C11,"комплект")</f>
        <v>12</v>
      </c>
      <c r="AD37" s="5">
        <f>IF((W6-D11)&gt;0,W6-D11,"комплект")</f>
        <v>4</v>
      </c>
      <c r="AE37" s="3">
        <f>IF((W6-B11)&gt;0,W6-B11,"комплект")</f>
        <v>4</v>
      </c>
      <c r="AF37" s="3">
        <f>IF((W6-C11)&gt;0,W6-C11,"комплект")</f>
        <v>4</v>
      </c>
      <c r="AG37" s="5">
        <f>IF((W3-D11)&gt;0,W3-D11,"комплект")</f>
        <v>12</v>
      </c>
    </row>
    <row r="38" spans="11:33" ht="15.75" thickBot="1">
      <c r="K38" s="20" t="s">
        <v>19</v>
      </c>
      <c r="L38" s="42">
        <f>IF(K26=R10,W6*W15,IF(K26=R11,W5*W15,0))</f>
        <v>0</v>
      </c>
      <c r="M38" s="16">
        <f>IF(K26=R10,W6*W16,IF(K26=R11,W5*W16,0))</f>
        <v>0</v>
      </c>
      <c r="N38" s="13">
        <f>IF(K26=R10,W6*W17,IF(K26=R11,W5*W17,0))</f>
        <v>0</v>
      </c>
      <c r="O38" s="1"/>
      <c r="P38" s="20" t="s">
        <v>19</v>
      </c>
      <c r="Q38" s="42">
        <f>IF(P26=R10,W6*V15,IF(P26=R11,W5*V15,0))</f>
        <v>0</v>
      </c>
      <c r="R38" s="16">
        <f>IF(P26=R10,W6*V16,IF(P26=R11,W5*V16,0))</f>
        <v>0</v>
      </c>
      <c r="S38" s="13">
        <f>IF(P26=R10,W6*V17,IF(P26=R11,W5*V17,0))</f>
        <v>0</v>
      </c>
      <c r="T38" s="1"/>
      <c r="U38" s="20" t="s">
        <v>19</v>
      </c>
      <c r="V38" s="42">
        <f>IF(U26=R10,W6*U15,IF(U26=R11,W5*U15,0))</f>
        <v>0</v>
      </c>
      <c r="W38" s="16">
        <f>IF(U26=R10,W6*U16,IF(U26=R11,W5*U16,0))</f>
        <v>0</v>
      </c>
      <c r="X38" s="13">
        <f>IF(U26=R10,W6*U17,IF(U26=R11,W5*U17,0))</f>
        <v>0</v>
      </c>
      <c r="Y38" s="25">
        <f>IF((W2-B12)&gt;0,W2-B12,"комплект")</f>
        <v>18</v>
      </c>
      <c r="Z38" s="3">
        <f>IF((W5-C12)&gt;0,W5-C12,"комплект")</f>
        <v>6</v>
      </c>
      <c r="AA38" s="5">
        <f>IF((W5-D12)&gt;0,W5-D12,"комплект")</f>
        <v>6</v>
      </c>
      <c r="AB38" s="25">
        <f>IF((W5-B12)&gt;0,W5-B12,"комплект")</f>
        <v>6</v>
      </c>
      <c r="AC38" s="3">
        <f>IF((W2-C12)&gt;0,W2-C12,"комплект")</f>
        <v>18</v>
      </c>
      <c r="AD38" s="5">
        <f>IF((W5-D12)&gt;0,W5-D12,"комплект")</f>
        <v>6</v>
      </c>
      <c r="AE38" s="3">
        <f>IF((W5-B12)&gt;0,W5-B12,"комплект")</f>
        <v>6</v>
      </c>
      <c r="AF38" s="3">
        <f>IF((W5-C12)&gt;0,W5-C12,"комплект")</f>
        <v>6</v>
      </c>
      <c r="AG38" s="5">
        <f>IF((W2-D12)&gt;0,W2-D12,"комплект")</f>
        <v>18</v>
      </c>
    </row>
    <row r="39" spans="11:33" ht="15.75" thickBot="1">
      <c r="K39" s="20" t="s">
        <v>21</v>
      </c>
      <c r="L39" s="43">
        <f>IF(K26=R11,W12*W15,0)</f>
        <v>0</v>
      </c>
      <c r="M39" s="17">
        <f>IF(K26=R11,W12*W16,0)</f>
        <v>0</v>
      </c>
      <c r="N39" s="14">
        <f>IF(K26=R11,W12*W17,0)</f>
        <v>0</v>
      </c>
      <c r="O39" s="1"/>
      <c r="P39" s="20" t="s">
        <v>21</v>
      </c>
      <c r="Q39" s="43">
        <f>IF(P26=R11,W12*V15,0)</f>
        <v>0</v>
      </c>
      <c r="R39" s="17">
        <f>IF(P26=R11,W12*V16,0)</f>
        <v>0</v>
      </c>
      <c r="S39" s="14">
        <f>IF(P26=R11,W12*V17,0)</f>
        <v>0</v>
      </c>
      <c r="T39" s="1"/>
      <c r="U39" s="20" t="s">
        <v>21</v>
      </c>
      <c r="V39" s="43">
        <f>IF(U26=R11,W12*U15,0)</f>
        <v>0</v>
      </c>
      <c r="W39" s="17">
        <f>IF(U26=R11,W12*U16,0)</f>
        <v>0</v>
      </c>
      <c r="X39" s="14">
        <f>IF(U26=R11,W12*U17,0)</f>
        <v>0</v>
      </c>
      <c r="Y39" s="25">
        <f>IF((W13-B13)&gt;0,W13-B13,"комплект")</f>
        <v>24</v>
      </c>
      <c r="Z39" s="3">
        <f>IF((W12-C13)&gt;0,W12-C13,"комплект")</f>
        <v>8</v>
      </c>
      <c r="AA39" s="5">
        <f>IF((W12-D13)&gt;0,W12-D13,"комплект")</f>
        <v>8</v>
      </c>
      <c r="AB39" s="25">
        <f>IF((W12-B13)&gt;0,W12-B13,"комплект")</f>
        <v>8</v>
      </c>
      <c r="AC39" s="3">
        <f>IF((W13-C13)&gt;0,W13-C13,"комплект")</f>
        <v>24</v>
      </c>
      <c r="AD39" s="5">
        <f>IF((W12-D13)&gt;0,W12-D13,"комплект")</f>
        <v>8</v>
      </c>
      <c r="AE39" s="3">
        <f>IF((W12-B13)&gt;0,W12-B13,"комплект")</f>
        <v>8</v>
      </c>
      <c r="AF39" s="3">
        <f>IF((W12-C13)&gt;0,W12-C13,"комплект")</f>
        <v>8</v>
      </c>
      <c r="AG39" s="5">
        <f>IF((W13-D13)&gt;0,W13-D13,"комплект")</f>
        <v>24</v>
      </c>
    </row>
    <row r="40" spans="11:33" ht="15.75" thickBot="1">
      <c r="R40" s="1"/>
      <c r="S40" s="1"/>
      <c r="T40" s="1"/>
      <c r="U40" s="1"/>
      <c r="V40" s="1"/>
      <c r="W40" s="1"/>
      <c r="X40" s="1"/>
      <c r="Y40" s="26"/>
      <c r="Z40" s="4"/>
      <c r="AA40" s="6"/>
      <c r="AB40" s="26"/>
      <c r="AC40" s="4"/>
      <c r="AD40" s="6"/>
      <c r="AE40" s="4"/>
      <c r="AF40" s="4"/>
      <c r="AG40" s="6"/>
    </row>
    <row r="41" spans="11:33" ht="15.75" thickBot="1">
      <c r="V41" s="88" t="s">
        <v>64</v>
      </c>
      <c r="Y41" s="255" t="str">
        <f>Лист1!A19</f>
        <v>вещи</v>
      </c>
      <c r="Z41" s="256"/>
      <c r="AA41" s="256"/>
      <c r="AB41" s="257"/>
      <c r="AC41" s="255" t="str">
        <f>IF(Лист1!A19=Лист4!E2,F2,IF(Лист1!A19=E3,F3,IF(Лист1!A19=E4,F4,IF(Лист1!A19=E5,F5,IF(Лист1!A19=E6,F6,IF(Лист1!A19=E1,F1,"-"))))))</f>
        <v>вещи</v>
      </c>
      <c r="AD41" s="256"/>
      <c r="AE41" s="256"/>
      <c r="AF41" s="257"/>
    </row>
    <row r="42" spans="11:33" ht="15.75" thickBot="1">
      <c r="V42" s="1" t="s">
        <v>26</v>
      </c>
      <c r="W42">
        <f>IF(Лист4!Y42=V42,3,IF(Лист4!Y42=V43,1,IF(Лист4!Y42=V44,1,"-")))</f>
        <v>1</v>
      </c>
      <c r="X42" s="1">
        <f>IF(Лист4!AC42=V42,3,IF(Лист4!AC42=V43,1,IF(Лист4!AC42=V44,1,"-")))</f>
        <v>1</v>
      </c>
      <c r="Y42" s="260" t="str">
        <f>Лист1!A22</f>
        <v>маг</v>
      </c>
      <c r="Z42" s="261"/>
      <c r="AA42" s="261"/>
      <c r="AB42" s="262"/>
      <c r="AC42" s="260" t="str">
        <f>Лист1!A22</f>
        <v>маг</v>
      </c>
      <c r="AD42" s="261"/>
      <c r="AE42" s="261"/>
      <c r="AF42" s="262"/>
    </row>
    <row r="43" spans="11:33" ht="15.75" thickBot="1">
      <c r="V43" s="1" t="s">
        <v>28</v>
      </c>
      <c r="W43" s="1">
        <f>IF(Лист4!Y42=V43,3,IF(Лист4!Y42=V42,1,IF(Лист4!Y42=V44,1,"-")))</f>
        <v>1</v>
      </c>
      <c r="X43" s="1">
        <f>IF(Лист4!AC42=V43,3,IF(Лист4!AC42=V42,1,IF(Лист4!AC42=V44,1,"-")))</f>
        <v>1</v>
      </c>
      <c r="Y43" s="40"/>
      <c r="Z43" s="9" t="s">
        <v>3</v>
      </c>
      <c r="AA43" s="10" t="s">
        <v>4</v>
      </c>
      <c r="AB43" s="7" t="s">
        <v>5</v>
      </c>
      <c r="AC43" s="40"/>
      <c r="AD43" s="9" t="s">
        <v>3</v>
      </c>
      <c r="AE43" s="10" t="s">
        <v>4</v>
      </c>
      <c r="AF43" s="7" t="s">
        <v>5</v>
      </c>
    </row>
    <row r="44" spans="11:33" ht="16.5" thickBot="1">
      <c r="V44" s="1" t="s">
        <v>9</v>
      </c>
      <c r="W44" s="1">
        <f>IF(Лист4!Y42=V44,3,IF(Лист4!Y42=V43,1,IF(Лист4!Y42=V42,1,"-")))</f>
        <v>3</v>
      </c>
      <c r="X44" s="1">
        <f>IF(Лист4!AC42=V44,3,IF(Лист4!AC42=V43,1,IF(Лист4!AC42=V42,1,"-")))</f>
        <v>3</v>
      </c>
      <c r="Y44" s="36" t="str">
        <f>IF(Y41=Лист4!E2,Лист1!A4,IF(Y41=Лист4!E3,Лист1!A4,IF(Y41=Лист4!E4,Лист1!A4,IF(Y41=Лист4!E5,Лист1!A5,IF(Y41=Лист4!E6,Лист1!A6,"-")))))</f>
        <v>-</v>
      </c>
      <c r="Z44" s="27" t="str">
        <f>IF(Y41=Лист4!E2,Лист4!I4,IF(Лист4!Y41=Лист4!E3,Лист4!I14,IF(Y41=Лист4!E4,Лист4!I9,IF(Y41=Лист4!E5,Лист4!I9,IF(Y41=Лист4!E6,Лист4!L4,"-")))))</f>
        <v>-</v>
      </c>
      <c r="AA44" s="27" t="str">
        <f>IF(Y41=Лист4!E2,Лист4!J4,IF(Лист4!Y41=Лист4!E3,Лист4!J14,IF(Y41=Лист4!E4,Лист4!J9,IF(Y41=Лист4!E5,Лист4!J9,IF(Y41=Лист4!E6,Лист4!M4,"-")))))</f>
        <v>-</v>
      </c>
      <c r="AB44" s="27" t="str">
        <f>IF(Y41=Лист4!E2,Лист4!K4,IF(Лист4!Y41=Лист4!E3,Лист4!K14,IF(Y41=Лист4!E4,Лист4!K9,IF(Y41=Лист4!E5,Лист4!K9,IF(Y41=Лист4!E6,Лист4!N4,"-")))))</f>
        <v>-</v>
      </c>
      <c r="AC44" s="36" t="str">
        <f>IF(AC41=Лист4!F2,Лист1!A7,IF(AC41=Лист4!F3,Лист1!A8,IF(AC41=Лист4!F4,Лист1!A9,IF(AC41=Лист4!F5,Лист1!A10,IF(AC41=Лист4!F6,Лист1!A11,"-")))))</f>
        <v>-</v>
      </c>
      <c r="AD44" s="27" t="str">
        <f>IF(AC41=Лист4!F2,Лист4!O9,IF(AC41=Лист4!F6,Лист4!O9,IF(AC41=Лист4!F1,"-",Лист4!O4)))</f>
        <v>-</v>
      </c>
      <c r="AE44" s="27" t="str">
        <f>IF(AC41=Лист4!F2,Лист4!P9,IF(AC41=Лист4!F6,Лист4!P9,IF(AC41=Лист4!F1,"-",Лист4!P4)))</f>
        <v>-</v>
      </c>
      <c r="AF44" s="75" t="str">
        <f>IF(AC41=Лист4!F2,Лист4!Q9,IF(AC41=Лист4!F6,Лист4!Q9,IF(AC41=Лист4!F1,"-",Лист4!Q4)))</f>
        <v>-</v>
      </c>
    </row>
    <row r="45" spans="11:33" ht="16.5" thickBot="1">
      <c r="Y45" s="36" t="str">
        <f>IF(Y41=Лист4!E3,Лист1!A5,IF(Y41=Лист4!E4,Лист1!A5,IF(Y41=Лист4!E5,Лист1!A6,IF(Y41=Лист4!E6,Лист1!A7,"-"))))</f>
        <v>-</v>
      </c>
      <c r="Z45" s="27" t="str">
        <f>IF(Y41=Лист4!E3,Лист4!I15,IF(Y41=Лист4!E4,Лист4!I10,IF(Y41=Лист4!E5,Лист4!I10,IF(Y41=Лист4!E6,Лист4!L5,"-"))))</f>
        <v>-</v>
      </c>
      <c r="AA45" s="27" t="str">
        <f>IF(Y41=Лист4!E3,Лист4!J15,IF(Y41=Лист4!E4,Лист4!J10,IF(Y41=Лист4!E5,Лист4!J10,IF(Y41=Лист4!E6,Лист4!M5,"-"))))</f>
        <v>-</v>
      </c>
      <c r="AB45" s="27" t="str">
        <f>IF(Y41=Лист4!E3,Лист4!K15,IF(Y41=Лист4!E4,Лист4!K10,IF(Y41=Лист4!E5,Лист4!K10,IF(Y41=Лист4!E6,Лист4!N5,"-"))))</f>
        <v>-</v>
      </c>
      <c r="AC45" s="36" t="str">
        <f>IF(AC41=Лист4!F2,Лист1!A8,IF(AC41=Лист4!F3,Лист1!A9,IF(AC41=Лист4!F4,Лист1!A10,IF(AC41=Лист4!F5,Лист1!A11,IF(AC41=Лист4!F6,Лист1!A12,"-")))))</f>
        <v>-</v>
      </c>
      <c r="AD45" s="28" t="str">
        <f>IF(AC41=Лист4!F2,Лист4!O10,IF(AC41=Лист4!F6,Лист4!O10,IF(AC41=Лист4!F1,"-",Лист4!O5)))</f>
        <v>-</v>
      </c>
      <c r="AE45" s="28" t="str">
        <f>IF(AC41=Лист4!F2,Лист4!P10,IF(AC41=Лист4!F6,Лист4!P10,IF(AC41=Лист4!F1,"-",Лист4!P5)))</f>
        <v>-</v>
      </c>
      <c r="AF45" s="76" t="str">
        <f>IF(AC41=Лист4!F2,Лист4!Q10,IF(AC41=Лист4!F6,Лист4!Q10,IF(AC41=Лист4!F1,"-",Лист4!Q5)))</f>
        <v>-</v>
      </c>
    </row>
    <row r="46" spans="11:33" ht="16.5" thickBot="1">
      <c r="Y46" s="47" t="str">
        <f>IF(Y41=Лист4!E4,Лист1!A6,IF(Y41=Лист4!E5,Лист1!A7,IF(Y41=Лист4!E6,Лист1!A8,"-")))</f>
        <v>-</v>
      </c>
      <c r="Z46" s="27" t="str">
        <f>IF(Y41=Лист4!E4,Лист4!I11,IF(Y41=Лист4!E5,Лист4!I11,IF(Y41=Лист4!E6,Лист4!L6,"-")))</f>
        <v>-</v>
      </c>
      <c r="AA46" s="27" t="str">
        <f>IF(Y41=Лист4!E4,Лист4!J11,IF(Y41=Лист4!E5,Лист4!J11,IF(Y41=Лист4!E6,Лист4!M6,"-")))</f>
        <v>-</v>
      </c>
      <c r="AB46" s="27" t="str">
        <f>IF(Y41=Лист4!E4,Лист4!K11,IF(Y41=Лист4!E5,Лист4!K11,IF(Y41=Лист4!E6,Лист4!N6,"-")))</f>
        <v>-</v>
      </c>
      <c r="AC46" s="47" t="str">
        <f>IF(AC41=Лист4!F2,Лист1!A9,IF(AC41=Лист4!F3,Лист1!A10,IF(AC41=Лист4!F4,Лист1!A11,IF(AC41=Лист4!F5,Лист1!A12,IF(AC41=Лист4!F6,Лист1!A13,"-")))))</f>
        <v>-</v>
      </c>
      <c r="AD46" s="48" t="str">
        <f>IF(AC41=Лист4!F2,Лист4!O11,IF(AC41=Лист4!F6,Лист4!O11,IF(AC41=Лист4!F1,"-",Лист4!O6)))</f>
        <v>-</v>
      </c>
      <c r="AE46" s="48" t="str">
        <f>IF(AC41=Лист4!F2,Лист4!P11,IF(AC41=Лист4!F6,Лист4!P11,IF(AC41=Лист4!F1,"-",Лист4!P6)))</f>
        <v>-</v>
      </c>
      <c r="AF46" s="87" t="str">
        <f>IF(AC41=Лист4!F2,Лист4!Q11,IF(AC41=Лист4!F6,Лист4!Q11,IF(AC41=Лист4!F1,"-",Лист4!Q6)))</f>
        <v>-</v>
      </c>
    </row>
    <row r="47" spans="11:33" ht="15.75" thickBot="1">
      <c r="Y47" s="211" t="s">
        <v>17</v>
      </c>
      <c r="Z47" s="212"/>
      <c r="AA47" s="213"/>
      <c r="AB47" s="35">
        <f>SUM(Z44:AB46)</f>
        <v>0</v>
      </c>
      <c r="AC47" s="211" t="s">
        <v>17</v>
      </c>
      <c r="AD47" s="212"/>
      <c r="AE47" s="213"/>
      <c r="AF47" s="35">
        <f>SUM(AD44:AF46)</f>
        <v>0</v>
      </c>
    </row>
    <row r="50" spans="1:42">
      <c r="Y50" s="258" t="str">
        <f>IF(Лист1!K9=Лист4!E62,AC41,Y41)</f>
        <v>вещи</v>
      </c>
      <c r="Z50" s="258"/>
      <c r="AA50" s="258"/>
      <c r="AB50" s="258"/>
      <c r="AC50" s="90"/>
    </row>
    <row r="52" spans="1:42" hidden="1"/>
    <row r="54" spans="1:42" ht="15.75" thickBot="1"/>
    <row r="55" spans="1:42" ht="15.75" thickBot="1">
      <c r="A55" s="241" t="s">
        <v>50</v>
      </c>
      <c r="B55" s="242"/>
      <c r="C55" s="242"/>
      <c r="D55" s="243"/>
      <c r="E55" s="90" t="s">
        <v>63</v>
      </c>
      <c r="F55" s="90" t="s">
        <v>63</v>
      </c>
      <c r="G55" s="90" t="s">
        <v>63</v>
      </c>
      <c r="H55" s="90"/>
      <c r="I55" s="90"/>
      <c r="J55" s="236" t="s">
        <v>66</v>
      </c>
      <c r="K55" s="236"/>
      <c r="L55" s="236"/>
      <c r="M55" s="236"/>
      <c r="N55" s="90"/>
      <c r="O55" s="236" t="s">
        <v>66</v>
      </c>
      <c r="P55" s="236"/>
      <c r="Q55" s="236"/>
      <c r="R55" s="236"/>
      <c r="S55" s="90"/>
      <c r="T55" s="236" t="s">
        <v>66</v>
      </c>
      <c r="U55" s="236"/>
      <c r="V55" s="236"/>
      <c r="W55" s="236"/>
      <c r="X55" s="90"/>
      <c r="Y55" s="236" t="s">
        <v>66</v>
      </c>
      <c r="Z55" s="236"/>
      <c r="AA55" s="236"/>
      <c r="AB55" s="236"/>
      <c r="AC55" s="90"/>
      <c r="AD55" s="90"/>
      <c r="AE55" s="90"/>
      <c r="AF55" s="90"/>
      <c r="AI55" s="241" t="s">
        <v>50</v>
      </c>
      <c r="AJ55" s="242"/>
      <c r="AK55" s="242"/>
      <c r="AL55" s="243"/>
      <c r="AM55" s="241" t="s">
        <v>50</v>
      </c>
      <c r="AN55" s="250"/>
      <c r="AO55" s="250"/>
      <c r="AP55" s="251"/>
    </row>
    <row r="56" spans="1:42">
      <c r="A56" s="244"/>
      <c r="B56" s="245"/>
      <c r="C56" s="245"/>
      <c r="D56" s="246"/>
      <c r="E56" s="24" t="s">
        <v>6</v>
      </c>
      <c r="F56" s="24" t="s">
        <v>40</v>
      </c>
      <c r="G56" s="24" t="s">
        <v>6</v>
      </c>
      <c r="H56" s="90"/>
      <c r="I56" s="90"/>
      <c r="J56" s="95">
        <f>IF(J64*M96-J60&gt;0,J64*M96-J60,"комплект")</f>
        <v>18</v>
      </c>
      <c r="K56" s="96" t="str">
        <f>IF(K64*M96-K60&gt;0,K64*M96-K60,"комплект")</f>
        <v>комплект</v>
      </c>
      <c r="L56" s="93" t="str">
        <f>IF(L64*M96-L60&gt;0,L64*M96-L60,"комплект")</f>
        <v>комплект</v>
      </c>
      <c r="M56" s="101" t="s">
        <v>3</v>
      </c>
      <c r="N56" s="3"/>
      <c r="O56" s="95">
        <f>IF(O64*M96-O60&gt;0,O64*M96-O60,"комплект")</f>
        <v>4</v>
      </c>
      <c r="P56" s="96">
        <f>IF(P64*M96-P60&gt;0,P64*M96-P60,"комплект")</f>
        <v>5</v>
      </c>
      <c r="Q56" s="93" t="str">
        <f>IF(Q64*M96-Q60&gt;0,Q64*M96-Q60,"комплект")</f>
        <v>комплект</v>
      </c>
      <c r="R56" s="101" t="s">
        <v>3</v>
      </c>
      <c r="S56" s="90"/>
      <c r="T56" s="95">
        <f>IF(T64*M96-T60&gt;0,T64*M96-T60,"комплект")</f>
        <v>2</v>
      </c>
      <c r="U56" s="96">
        <f>IF(U64*M96-U60&gt;0,U64*M96-U60,"комплект")</f>
        <v>3</v>
      </c>
      <c r="V56" s="93">
        <f>IF(V64*M96-V60&gt;0,V64*M96-V60,"комплект")</f>
        <v>4</v>
      </c>
      <c r="W56" s="101" t="s">
        <v>3</v>
      </c>
      <c r="X56" s="90"/>
      <c r="Y56" s="95">
        <f>IF(Y64*M96-Y60&gt;0,Y64*M96-Y60,"комплект")</f>
        <v>2</v>
      </c>
      <c r="Z56" s="96">
        <f>IF(Z64*M96-Z60&gt;0,Z64*M96-Z60,"комплект")</f>
        <v>3</v>
      </c>
      <c r="AA56" s="93">
        <f>IF(AA64*M96-AA60&gt;0,AA64*M96-AA60,"комплект")</f>
        <v>4</v>
      </c>
      <c r="AB56" s="101" t="s">
        <v>3</v>
      </c>
      <c r="AC56" s="90"/>
      <c r="AD56" s="107">
        <f>IF(AD64*M96-AD60&gt;0,AD64*M96-AD60,"комплект")</f>
        <v>4</v>
      </c>
      <c r="AE56" s="96">
        <f>IF(AE64*M96-AE60&gt;0,AE64*M96-AE60,"комплект")</f>
        <v>6</v>
      </c>
      <c r="AF56" s="93">
        <f>IF(AF64*M96-AF60&gt;0,AF64*M96-AF60,"комплект")</f>
        <v>8</v>
      </c>
      <c r="AG56" s="101" t="s">
        <v>3</v>
      </c>
      <c r="AI56" s="244"/>
      <c r="AJ56" s="245"/>
      <c r="AK56" s="245"/>
      <c r="AL56" s="246"/>
      <c r="AM56" s="252"/>
      <c r="AN56" s="253"/>
      <c r="AO56" s="253"/>
      <c r="AP56" s="254"/>
    </row>
    <row r="57" spans="1:42" ht="15.75" thickBot="1">
      <c r="A57" s="19"/>
      <c r="B57" s="18" t="s">
        <v>3</v>
      </c>
      <c r="C57" s="8" t="s">
        <v>4</v>
      </c>
      <c r="D57" s="11" t="s">
        <v>5</v>
      </c>
      <c r="E57" s="24" t="s">
        <v>29</v>
      </c>
      <c r="F57" s="90" t="s">
        <v>7</v>
      </c>
      <c r="G57" s="24" t="s">
        <v>29</v>
      </c>
      <c r="H57" s="90"/>
      <c r="I57" s="90"/>
      <c r="J57" s="97">
        <f>IF(J64*M97-J61&gt;0,J64*M97-J61,"комплект")</f>
        <v>18</v>
      </c>
      <c r="K57" s="92" t="str">
        <f>IF(K64*M97-K61&gt;0,K64*M97-K61,"комплект")</f>
        <v>комплект</v>
      </c>
      <c r="L57" s="94" t="str">
        <f>IF(L64*M97-L61&gt;0,L64*M97-L61,"комплект")</f>
        <v>комплект</v>
      </c>
      <c r="M57" s="102" t="s">
        <v>4</v>
      </c>
      <c r="N57" s="3"/>
      <c r="O57" s="97">
        <f>IF(O64*M97-O61&gt;0,O64*M97-O61,"комплект")</f>
        <v>4</v>
      </c>
      <c r="P57" s="92">
        <f>IF(P64*M97-P61&gt;0,P64*M97-P61,"комплект")</f>
        <v>5</v>
      </c>
      <c r="Q57" s="94" t="str">
        <f>IF(Q64*M97-Q61&gt;0,Q64*M97-Q61,"комплект")</f>
        <v>комплект</v>
      </c>
      <c r="R57" s="102" t="s">
        <v>4</v>
      </c>
      <c r="S57" s="90"/>
      <c r="T57" s="97">
        <f>IF(T64*M97-T61&gt;0,T64*M97-T61,"комплект")</f>
        <v>2</v>
      </c>
      <c r="U57" s="92">
        <f>IF(U64*M97-U61&gt;0,U64*M97-U61,"комплект")</f>
        <v>3</v>
      </c>
      <c r="V57" s="94">
        <f>IF(V64*M97-V61&gt;0,V64*M97-V61,"комплект")</f>
        <v>4</v>
      </c>
      <c r="W57" s="102" t="s">
        <v>4</v>
      </c>
      <c r="X57" s="90"/>
      <c r="Y57" s="97">
        <f>IF(Y64*M97-Y61&gt;0,Y64*M97-Y61,"комплект")</f>
        <v>2</v>
      </c>
      <c r="Z57" s="92">
        <f>IF(Z64*M97-Z61&gt;0,Z64*M97-Z61,"комплект")</f>
        <v>3</v>
      </c>
      <c r="AA57" s="94">
        <f>IF(AA64*M97-AA61&gt;0,AA64*M97-AA61,"комплект")</f>
        <v>4</v>
      </c>
      <c r="AB57" s="102" t="s">
        <v>4</v>
      </c>
      <c r="AC57" s="90"/>
      <c r="AD57" s="108">
        <f>IF(AD64*M97-AD61&gt;0,AD64*M97-AD61,"комплект")</f>
        <v>4</v>
      </c>
      <c r="AE57" s="92">
        <f>IF(AE64*M97-AE61&gt;0,AE64*M97-AE61,"комплект")</f>
        <v>6</v>
      </c>
      <c r="AF57" s="94">
        <f>IF(AF64*M97-AF61&gt;0,AF64*M97-AF61,"комплект")</f>
        <v>8</v>
      </c>
      <c r="AG57" s="102" t="s">
        <v>4</v>
      </c>
      <c r="AI57" s="19"/>
      <c r="AJ57" s="18" t="s">
        <v>3</v>
      </c>
      <c r="AK57" s="8" t="s">
        <v>4</v>
      </c>
      <c r="AL57" s="11" t="s">
        <v>5</v>
      </c>
      <c r="AM57" s="19"/>
      <c r="AN57" s="18" t="s">
        <v>3</v>
      </c>
      <c r="AO57" s="8" t="s">
        <v>4</v>
      </c>
      <c r="AP57" s="11" t="s">
        <v>5</v>
      </c>
    </row>
    <row r="58" spans="1:42" ht="15.75" thickBot="1">
      <c r="A58" s="20" t="s">
        <v>8</v>
      </c>
      <c r="B58" s="21">
        <f>Лист1!B4-0*0*Лист4!L30-B71*Лист4!Q30-B72*Лист4!V30</f>
        <v>0</v>
      </c>
      <c r="C58" s="15">
        <f>Лист1!C4-0*Лист4!M30-B71*Лист4!R30-B72*Лист4!W30</f>
        <v>0</v>
      </c>
      <c r="D58" s="12">
        <f>Лист1!D4-0*Лист4!N30-B71*Лист4!S30-B72*Лист4!X30</f>
        <v>0</v>
      </c>
      <c r="E58" s="24" t="s">
        <v>38</v>
      </c>
      <c r="F58" s="90" t="s">
        <v>41</v>
      </c>
      <c r="G58" s="24" t="s">
        <v>38</v>
      </c>
      <c r="H58" s="90"/>
      <c r="I58" s="90"/>
      <c r="J58" s="98">
        <f>IF(J64*M98-J62&gt;0,J64*M98-J62,"комплект")</f>
        <v>54</v>
      </c>
      <c r="K58" s="99" t="str">
        <f>IF(K64*M98-K62&gt;0,K64*M98-K62,"комплект")</f>
        <v>комплект</v>
      </c>
      <c r="L58" s="100" t="str">
        <f>IF(L64*M98-L62&gt;0,L64*M98-L62,"комплект")</f>
        <v>комплект</v>
      </c>
      <c r="M58" s="46" t="s">
        <v>5</v>
      </c>
      <c r="N58" s="3"/>
      <c r="O58" s="98">
        <f>IF(O64*M98-O62&gt;0,O64*M98-O62,"комплект")</f>
        <v>12</v>
      </c>
      <c r="P58" s="99">
        <f>IF(P64*M98-P62&gt;0,P64*M98-P62,"комплект")</f>
        <v>15</v>
      </c>
      <c r="Q58" s="100" t="str">
        <f>IF(Q64*M98-Q62&gt;0,Q64*M98-Q62,"комплект")</f>
        <v>комплект</v>
      </c>
      <c r="R58" s="46" t="s">
        <v>5</v>
      </c>
      <c r="S58" s="90"/>
      <c r="T58" s="98">
        <f>IF(T64*M98-T62&gt;0,T64*M98-T62,"комплект")</f>
        <v>6</v>
      </c>
      <c r="U58" s="99">
        <f>IF(U64*M98-U62&gt;0,U64*M98-U62,"комплект")</f>
        <v>9</v>
      </c>
      <c r="V58" s="100">
        <f>IF(V64*M98-V62&gt;0,V64*M98-V62,"комплект")</f>
        <v>12</v>
      </c>
      <c r="W58" s="46" t="s">
        <v>5</v>
      </c>
      <c r="X58" s="90"/>
      <c r="Y58" s="98">
        <f>IF(Y64*M98-Y62&gt;0,Y64*M98-Y62,"комплект")</f>
        <v>6</v>
      </c>
      <c r="Z58" s="99">
        <f>IF(Z64*M98-Z62&gt;0,Z64*M98-Z62,"комплект")</f>
        <v>9</v>
      </c>
      <c r="AA58" s="100">
        <f>IF(AA64*M98-AA62&gt;0,AA64*M98-AA62,"комплект")</f>
        <v>12</v>
      </c>
      <c r="AB58" s="46" t="s">
        <v>5</v>
      </c>
      <c r="AC58" s="90"/>
      <c r="AD58" s="109">
        <f>IF(AD64*M98-AD62&gt;0,AD64*M98-AD62,"комплект")</f>
        <v>12</v>
      </c>
      <c r="AE58" s="99">
        <f>IF(AE64*M98-AE62&gt;0,AE64*M98-AE62,"комплект")</f>
        <v>18</v>
      </c>
      <c r="AF58" s="100">
        <f>IF(AF64*M98-AF62&gt;0,AF64*M98-AF62,"комплект")</f>
        <v>24</v>
      </c>
      <c r="AG58" s="46" t="s">
        <v>5</v>
      </c>
      <c r="AI58" s="20" t="s">
        <v>8</v>
      </c>
      <c r="AJ58" s="21">
        <f>Лист1!B4-Лист4!L30-0*Лист4!Q30-B72*Лист4!V30</f>
        <v>0</v>
      </c>
      <c r="AK58" s="15">
        <f>Лист1!C4-Лист4!M30-0*Лист4!R30-B72*Лист4!W30</f>
        <v>0</v>
      </c>
      <c r="AL58" s="12">
        <f>Лист1!D4-Лист4!N30-0*Лист4!S30-B72*Лист4!X30</f>
        <v>0</v>
      </c>
      <c r="AM58" s="20" t="s">
        <v>8</v>
      </c>
      <c r="AN58" s="21">
        <f>Лист1!B4-Лист4!L30-Лист4!Q30-0*Лист4!V30</f>
        <v>-12</v>
      </c>
      <c r="AO58" s="15">
        <f>Лист1!C4-Лист4!M30-Лист4!R30-0*Лист4!W30</f>
        <v>-4</v>
      </c>
      <c r="AP58" s="12">
        <f>Лист1!D4-Лист4!N30-Лист4!S30-0*Лист4!X30</f>
        <v>-4</v>
      </c>
    </row>
    <row r="59" spans="1:42" ht="15.75" thickBot="1">
      <c r="A59" s="20" t="s">
        <v>10</v>
      </c>
      <c r="B59" s="21">
        <f>Лист1!B5-0*0*Лист4!L31-B71*Лист4!Q31-B72*Лист4!V31</f>
        <v>0</v>
      </c>
      <c r="C59" s="15">
        <f>Лист1!C5-0*Лист4!M31-B71*Лист4!R31-B72*Лист4!W31</f>
        <v>0</v>
      </c>
      <c r="D59" s="12">
        <f>Лист1!D5-0*Лист4!N31-B71*Лист4!S31-B72*Лист4!X31</f>
        <v>0</v>
      </c>
      <c r="E59" s="24" t="s">
        <v>39</v>
      </c>
      <c r="F59" s="90" t="s">
        <v>42</v>
      </c>
      <c r="G59" s="24" t="s">
        <v>39</v>
      </c>
      <c r="H59" s="90"/>
      <c r="I59" s="90"/>
      <c r="J59" s="237" t="s">
        <v>67</v>
      </c>
      <c r="K59" s="237"/>
      <c r="L59" s="237"/>
      <c r="M59" s="237"/>
      <c r="N59" s="90"/>
      <c r="O59" s="237" t="s">
        <v>67</v>
      </c>
      <c r="P59" s="237"/>
      <c r="Q59" s="237"/>
      <c r="R59" s="237"/>
      <c r="S59" s="90"/>
      <c r="T59" s="237" t="s">
        <v>67</v>
      </c>
      <c r="U59" s="237"/>
      <c r="V59" s="237"/>
      <c r="W59" s="237"/>
      <c r="X59" s="90"/>
      <c r="Y59" s="237" t="s">
        <v>67</v>
      </c>
      <c r="Z59" s="237"/>
      <c r="AA59" s="237"/>
      <c r="AB59" s="237"/>
      <c r="AC59" s="90"/>
      <c r="AD59" s="237" t="s">
        <v>67</v>
      </c>
      <c r="AE59" s="237"/>
      <c r="AF59" s="237"/>
      <c r="AG59" s="237"/>
      <c r="AI59" s="20" t="s">
        <v>10</v>
      </c>
      <c r="AJ59" s="21">
        <f>Лист1!B5-Лист4!L31-0*Лист4!Q31-B72*Лист4!V31</f>
        <v>0</v>
      </c>
      <c r="AK59" s="15">
        <f>Лист1!C5-Лист4!M31-0*Лист4!R31-B72*Лист4!W31</f>
        <v>0</v>
      </c>
      <c r="AL59" s="12">
        <f>Лист1!D5-Лист4!N31-0*Лист4!S31-B72*Лист4!X31</f>
        <v>0</v>
      </c>
      <c r="AM59" s="20" t="s">
        <v>10</v>
      </c>
      <c r="AN59" s="21">
        <f>Лист1!B5-Лист4!L31-Лист4!Q31-0*Лист4!V31</f>
        <v>-15</v>
      </c>
      <c r="AO59" s="15">
        <f>Лист1!C5-Лист4!M31-Лист4!R31-0*Лист4!W31</f>
        <v>-5</v>
      </c>
      <c r="AP59" s="12">
        <f>Лист1!D5-Лист4!N31-Лист4!S31-0*Лист4!X31</f>
        <v>-5</v>
      </c>
    </row>
    <row r="60" spans="1:42" ht="15.75" thickBot="1">
      <c r="A60" s="20" t="s">
        <v>12</v>
      </c>
      <c r="B60" s="21">
        <f>Лист1!B6-0*0*Лист4!L32-B71*Лист4!Q32-B72*Лист4!V32</f>
        <v>0</v>
      </c>
      <c r="C60" s="15">
        <f>Лист1!C6-0*Лист4!M32-B71*Лист4!R32-B72*Лист4!W32</f>
        <v>0</v>
      </c>
      <c r="D60" s="12">
        <f>Лист1!D6-0*Лист4!N32-B71*Лист4!S32-B72*Лист4!X32</f>
        <v>0</v>
      </c>
      <c r="E60" s="24" t="s">
        <v>33</v>
      </c>
      <c r="F60" s="90" t="s">
        <v>43</v>
      </c>
      <c r="G60" s="24" t="s">
        <v>33</v>
      </c>
      <c r="H60" s="90"/>
      <c r="I60" s="90"/>
      <c r="J60" s="95">
        <f>IF(Лист1!K9=E61,B58,IF(Лист1!K9=E62,B61,"-"))</f>
        <v>0</v>
      </c>
      <c r="K60" s="96">
        <f>IF(Лист1!K9=E62,B62,0)</f>
        <v>0</v>
      </c>
      <c r="L60" s="93">
        <f>IF(Лист1!K9=E62,B63,0)</f>
        <v>0</v>
      </c>
      <c r="M60" s="101" t="s">
        <v>3</v>
      </c>
      <c r="N60" s="90"/>
      <c r="O60" s="95">
        <f>IF(Лист1!K9=E61,B58,IF(Лист1!K9=E62,B62,"-"))</f>
        <v>0</v>
      </c>
      <c r="P60" s="96">
        <f>IF(Лист1!K9=E61,B59,IF(Лист1!K9=E62,B63,"-"))</f>
        <v>0</v>
      </c>
      <c r="Q60" s="93">
        <f>IF(Лист1!K9=E62,B64,0)</f>
        <v>0</v>
      </c>
      <c r="R60" s="101" t="s">
        <v>3</v>
      </c>
      <c r="S60" s="90"/>
      <c r="T60" s="95">
        <f>IF(Лист1!K9=E61,B58,IF(Лист1!K9=E62,B63,"-"))</f>
        <v>0</v>
      </c>
      <c r="U60" s="96">
        <f>IF(Лист1!K9=E61,B59,IF(Лист1!K9=E62,B64,"-"))</f>
        <v>0</v>
      </c>
      <c r="V60" s="93">
        <f>IF(Лист1!K9=E61,B60,IF(Лист1!K9=E62,B65,"-"))</f>
        <v>0</v>
      </c>
      <c r="W60" s="101" t="s">
        <v>3</v>
      </c>
      <c r="X60" s="90"/>
      <c r="Y60" s="95">
        <f>IF(Лист1!K9=E61,B59,IF(Лист1!K9=E62,B64,"-"))</f>
        <v>0</v>
      </c>
      <c r="Z60" s="96">
        <f>IF(Лист1!K9=E61,B60,IF(Лист1!K9=E62,B65,"-"))</f>
        <v>0</v>
      </c>
      <c r="AA60" s="93">
        <f>IF(Лист1!K9=E61,B61,IF(Лист1!K9=E62,B66,"-"))</f>
        <v>0</v>
      </c>
      <c r="AB60" s="101" t="s">
        <v>3</v>
      </c>
      <c r="AC60" s="90"/>
      <c r="AD60" s="107">
        <f>IF(Лист1!K9=E61,B60,IF(Лист1!K9=E62,B65,"-"))</f>
        <v>0</v>
      </c>
      <c r="AE60" s="96">
        <f>IF(Лист1!K9=E61,B61,IF(Лист1!K9=E62,B66,"-"))</f>
        <v>0</v>
      </c>
      <c r="AF60" s="93">
        <f>IF(Лист1!K9=E61,B62,IF(Лист1!K9=E62,B67,"-"))</f>
        <v>0</v>
      </c>
      <c r="AG60" s="101" t="s">
        <v>3</v>
      </c>
      <c r="AI60" s="20" t="s">
        <v>12</v>
      </c>
      <c r="AJ60" s="21">
        <f>Лист1!B6-Лист4!L32-0*Лист4!Q32-B72*Лист4!V32</f>
        <v>-4</v>
      </c>
      <c r="AK60" s="15">
        <f>Лист1!C6-Лист4!M32-0*Лист4!R32-B72*Лист4!W32</f>
        <v>-4</v>
      </c>
      <c r="AL60" s="12">
        <f>Лист1!D6-Лист4!N32-0*Лист4!S32-B72*Лист4!X32</f>
        <v>-12</v>
      </c>
      <c r="AM60" s="20" t="s">
        <v>12</v>
      </c>
      <c r="AN60" s="21">
        <f>Лист1!B6-Лист4!L32-Лист4!Q32-0*Лист4!V32</f>
        <v>-4</v>
      </c>
      <c r="AO60" s="15">
        <f>Лист1!C6-Лист4!M32-Лист4!R32-0*Лист4!W32</f>
        <v>-4</v>
      </c>
      <c r="AP60" s="12">
        <f>Лист1!D6-Лист4!N32-Лист4!S32-0*Лист4!X32</f>
        <v>-12</v>
      </c>
    </row>
    <row r="61" spans="1:42" ht="15.75" thickBot="1">
      <c r="A61" s="20" t="s">
        <v>13</v>
      </c>
      <c r="B61" s="21">
        <f>Лист1!B7-0*0*Лист4!L33-B71*Лист4!Q33-B72*Лист4!V33</f>
        <v>0</v>
      </c>
      <c r="C61" s="15">
        <f>Лист1!C7-0*Лист4!M33-B71*Лист4!R33-B72*Лист4!W33</f>
        <v>0</v>
      </c>
      <c r="D61" s="12">
        <f>Лист1!D7-0*Лист4!N33-B71*Лист4!S33-B72*Лист4!X33</f>
        <v>0</v>
      </c>
      <c r="E61" s="24" t="s">
        <v>48</v>
      </c>
      <c r="G61" s="24" t="s">
        <v>40</v>
      </c>
      <c r="H61" s="90"/>
      <c r="I61" s="90"/>
      <c r="J61" s="97">
        <f>IF(Лист1!K9=E61,C58,IF(Лист1!K9=E62,C61,"-"))</f>
        <v>0</v>
      </c>
      <c r="K61" s="92">
        <f>IF(Лист1!K9=E62,C62,0)</f>
        <v>0</v>
      </c>
      <c r="L61" s="94">
        <f>IF(Лист1!K9=E62,C63,0)</f>
        <v>0</v>
      </c>
      <c r="M61" s="102" t="s">
        <v>4</v>
      </c>
      <c r="N61" s="90"/>
      <c r="O61" s="97">
        <f>IF(Лист1!K9=E61,C58,IF(Лист1!K9=E62,C62,"-"))</f>
        <v>0</v>
      </c>
      <c r="P61" s="92">
        <f>IF(Лист1!K9=E61,C59,IF(Лист1!K9=E62,C63,"-"))</f>
        <v>0</v>
      </c>
      <c r="Q61" s="94">
        <f>IF(Лист1!K9=E62,C64,0)</f>
        <v>0</v>
      </c>
      <c r="R61" s="102" t="s">
        <v>4</v>
      </c>
      <c r="S61" s="90"/>
      <c r="T61" s="97">
        <f>IF(Лист1!K9=E61,C58,IF(Лист1!K9=E62,C63,"-"))</f>
        <v>0</v>
      </c>
      <c r="U61" s="92">
        <f>IF(Лист1!K9=E61,C59,IF(Лист1!K9=E62,C64,"-"))</f>
        <v>0</v>
      </c>
      <c r="V61" s="94">
        <f>IF(Лист1!K9=E61,C60,IF(Лист1!K9=E62,C65,"-"))</f>
        <v>0</v>
      </c>
      <c r="W61" s="102" t="s">
        <v>4</v>
      </c>
      <c r="X61" s="90"/>
      <c r="Y61" s="97">
        <f>IF(Лист1!K9=E61,C59,IF(Лист1!K9=E62,C64,"-"))</f>
        <v>0</v>
      </c>
      <c r="Z61" s="92">
        <f>IF(Лист1!K9=E61,C60,IF(Лист1!K9=E62,C65,"-"))</f>
        <v>0</v>
      </c>
      <c r="AA61" s="94">
        <f>IF(Лист1!K9=E61,C61,IF(Лист1!K9=E62,C66,"-"))</f>
        <v>0</v>
      </c>
      <c r="AB61" s="102" t="s">
        <v>4</v>
      </c>
      <c r="AC61" s="90"/>
      <c r="AD61" s="108">
        <f>IF(Лист1!K9=E61,C60,IF(Лист1!K9=E62,C65,"-"))</f>
        <v>0</v>
      </c>
      <c r="AE61" s="92">
        <f>IF(Лист1!K9=E61,C61,IF(Лист1!K9=E62,C66,"-"))</f>
        <v>0</v>
      </c>
      <c r="AF61" s="94">
        <f>IF(Лист1!K9=E61,C62,IF(Лист1!K9=E62,C67,"-"))</f>
        <v>0</v>
      </c>
      <c r="AG61" s="102" t="s">
        <v>4</v>
      </c>
      <c r="AI61" s="20" t="s">
        <v>13</v>
      </c>
      <c r="AJ61" s="21">
        <f>Лист1!B7-Лист4!L33-0*Лист4!Q33-B72*Лист4!V33</f>
        <v>-6</v>
      </c>
      <c r="AK61" s="15">
        <f>Лист1!C7-Лист4!M33-0*Лист4!R33-B72*Лист4!W33</f>
        <v>-6</v>
      </c>
      <c r="AL61" s="12">
        <f>Лист1!D7-Лист4!N33-0*Лист4!S33-B72*Лист4!X33</f>
        <v>-18</v>
      </c>
      <c r="AM61" s="20" t="s">
        <v>13</v>
      </c>
      <c r="AN61" s="21">
        <f>Лист1!B7-Лист4!L33-Лист4!Q33-0*Лист4!V33</f>
        <v>-6</v>
      </c>
      <c r="AO61" s="15">
        <f>Лист1!C7-Лист4!M33-Лист4!R33-0*Лист4!W33</f>
        <v>-6</v>
      </c>
      <c r="AP61" s="12">
        <f>Лист1!D7-Лист4!N33-Лист4!S33-0*Лист4!X33</f>
        <v>-18</v>
      </c>
    </row>
    <row r="62" spans="1:42" ht="15.75" thickBot="1">
      <c r="A62" s="20" t="s">
        <v>14</v>
      </c>
      <c r="B62" s="21">
        <f>Лист1!B8-0*0*Лист4!L34-B71*Лист4!Q34-B72*Лист4!V34</f>
        <v>0</v>
      </c>
      <c r="C62" s="15">
        <f>Лист1!C8-0*Лист4!M34-B71*Лист4!R34-B72*Лист4!W34</f>
        <v>0</v>
      </c>
      <c r="D62" s="12">
        <f>Лист1!D8-0*Лист4!N34-B71*Лист4!S34-B72*Лист4!X34</f>
        <v>0</v>
      </c>
      <c r="E62" s="24" t="s">
        <v>47</v>
      </c>
      <c r="G62" s="90" t="s">
        <v>7</v>
      </c>
      <c r="H62" s="90"/>
      <c r="I62" s="90"/>
      <c r="J62" s="98">
        <f>IF(Лист1!K9=E61,D58,IF(Лист1!K9=E62,D61,"-"))</f>
        <v>0</v>
      </c>
      <c r="K62" s="99">
        <f>IF(Лист1!K9=E62,D62,0)</f>
        <v>0</v>
      </c>
      <c r="L62" s="100">
        <f>IF(Лист1!K9=E62,D63,0)</f>
        <v>0</v>
      </c>
      <c r="M62" s="46" t="s">
        <v>5</v>
      </c>
      <c r="N62" s="90"/>
      <c r="O62" s="98">
        <f>IF(Лист1!K9=E61,D58,IF(Лист1!K9=E62,D62,"-"))</f>
        <v>0</v>
      </c>
      <c r="P62" s="99">
        <f>IF(Лист1!K9=E61,D59,IF(Лист1!K9=E62,D63,"-"))</f>
        <v>0</v>
      </c>
      <c r="Q62" s="100">
        <f>IF(Лист1!K9=E62,D64,0)</f>
        <v>0</v>
      </c>
      <c r="R62" s="46" t="s">
        <v>5</v>
      </c>
      <c r="S62" s="90"/>
      <c r="T62" s="98">
        <f>IF(Лист1!K9=E61,D58,IF(Лист1!K9=E62,D63,"-"))</f>
        <v>0</v>
      </c>
      <c r="U62" s="99">
        <f>IF(Лист1!K9=E61,D59,IF(Лист1!K9=E62,D64,"-"))</f>
        <v>0</v>
      </c>
      <c r="V62" s="100">
        <f>IF(Лист1!K9=E61,D60,IF(Лист1!K9=E62,D65,"-"))</f>
        <v>0</v>
      </c>
      <c r="W62" s="46" t="s">
        <v>5</v>
      </c>
      <c r="X62" s="90"/>
      <c r="Y62" s="98">
        <f>IF(Лист1!K9=E61,D59,IF(Лист1!K9=E62,D64,"-"))</f>
        <v>0</v>
      </c>
      <c r="Z62" s="99">
        <f>IF(Лист1!K9=E61,D60,IF(Лист1!K9=E62,D65,"-"))</f>
        <v>0</v>
      </c>
      <c r="AA62" s="100">
        <f>IF(Лист1!K9=E61,D61,IF(Лист1!K9=E62,D66,"-"))</f>
        <v>0</v>
      </c>
      <c r="AB62" s="46" t="s">
        <v>5</v>
      </c>
      <c r="AC62" s="90"/>
      <c r="AD62" s="109">
        <f>IF(Лист1!K9=E61,D60,IF(Лист1!K9=E62,D65,"-"))</f>
        <v>0</v>
      </c>
      <c r="AE62" s="99">
        <f>IF(Лист1!K9=E61,D61,IF(Лист1!K9=E62,D66,"-"))</f>
        <v>0</v>
      </c>
      <c r="AF62" s="100">
        <f>IF(Лист1!K9=E61,D62,IF(Лист1!K9=E62,D67,"-"))</f>
        <v>0</v>
      </c>
      <c r="AG62" s="46" t="s">
        <v>5</v>
      </c>
      <c r="AI62" s="20" t="s">
        <v>14</v>
      </c>
      <c r="AJ62" s="21">
        <f>Лист1!B8-Лист4!L34-0*Лист4!Q34-B72*Лист4!V34</f>
        <v>-8</v>
      </c>
      <c r="AK62" s="15">
        <f>Лист1!C8-Лист4!M34-0*Лист4!R34-B72*Лист4!W34</f>
        <v>-8</v>
      </c>
      <c r="AL62" s="12">
        <f>Лист1!D8-Лист4!N34-0*Лист4!S34-B72*Лист4!X34</f>
        <v>-24</v>
      </c>
      <c r="AM62" s="20" t="s">
        <v>14</v>
      </c>
      <c r="AN62" s="21">
        <f>Лист1!B8-Лист4!L34-Лист4!Q34-0*Лист4!V34</f>
        <v>-8</v>
      </c>
      <c r="AO62" s="15">
        <f>Лист1!C8-Лист4!M34-Лист4!R34-0*Лист4!W34</f>
        <v>-8</v>
      </c>
      <c r="AP62" s="12">
        <f>Лист1!D8-Лист4!N34-Лист4!S34-0*Лист4!X34</f>
        <v>-24</v>
      </c>
    </row>
    <row r="63" spans="1:42" ht="15.75" thickBot="1">
      <c r="A63" s="20" t="s">
        <v>15</v>
      </c>
      <c r="B63" s="21">
        <f>Лист1!B9-0*0*Лист4!L35-B71*Лист4!Q35-B72*Лист4!V35</f>
        <v>0</v>
      </c>
      <c r="C63" s="15">
        <f>Лист1!C9-0*Лист4!M35-B71*Лист4!R35-B72*Лист4!W35</f>
        <v>0</v>
      </c>
      <c r="D63" s="12">
        <f>Лист1!D9-0*Лист4!N35-B71*Лист4!S35-B72*Лист4!X35</f>
        <v>0</v>
      </c>
      <c r="E63" s="90"/>
      <c r="F63" s="90"/>
      <c r="G63" s="90" t="s">
        <v>41</v>
      </c>
      <c r="H63" s="90"/>
      <c r="I63" s="90"/>
      <c r="J63" s="90" t="s">
        <v>68</v>
      </c>
      <c r="K63" s="90"/>
      <c r="L63" s="90"/>
      <c r="M63" s="90"/>
      <c r="N63" s="90"/>
      <c r="O63" s="90"/>
      <c r="P63" s="90" t="s">
        <v>67</v>
      </c>
      <c r="Q63" s="90"/>
      <c r="R63" s="90"/>
      <c r="S63" s="90"/>
      <c r="T63" s="90"/>
      <c r="U63" s="90" t="s">
        <v>69</v>
      </c>
      <c r="V63" s="90"/>
      <c r="W63" s="90"/>
      <c r="X63" s="90"/>
      <c r="Y63" s="90"/>
      <c r="Z63" s="90" t="s">
        <v>70</v>
      </c>
      <c r="AA63" s="90"/>
      <c r="AB63" s="90"/>
      <c r="AC63" s="90"/>
      <c r="AD63" s="90"/>
      <c r="AE63" s="90" t="s">
        <v>71</v>
      </c>
      <c r="AF63" s="90"/>
      <c r="AG63" s="90"/>
      <c r="AI63" s="20" t="s">
        <v>15</v>
      </c>
      <c r="AJ63" s="21">
        <f>Лист1!B9-Лист4!L35-0*Лист4!Q35-B72*Лист4!V35</f>
        <v>0</v>
      </c>
      <c r="AK63" s="15">
        <f>Лист1!C9-Лист4!M35-0*Лист4!R35-B72*Лист4!W35</f>
        <v>0</v>
      </c>
      <c r="AL63" s="12">
        <f>Лист1!D9-Лист4!N35-0*Лист4!S35-B72*Лист4!X35</f>
        <v>0</v>
      </c>
      <c r="AM63" s="20" t="s">
        <v>15</v>
      </c>
      <c r="AN63" s="21">
        <f>Лист1!B9-Лист4!L35-Лист4!Q35-0*Лист4!V35</f>
        <v>0</v>
      </c>
      <c r="AO63" s="15">
        <f>Лист1!C9-Лист4!M35-Лист4!R35-0*Лист4!W35</f>
        <v>0</v>
      </c>
      <c r="AP63" s="12">
        <f>Лист1!D9-Лист4!N35-Лист4!S35-0*Лист4!X35</f>
        <v>0</v>
      </c>
    </row>
    <row r="64" spans="1:42" ht="15.75" thickBot="1">
      <c r="A64" s="20" t="s">
        <v>16</v>
      </c>
      <c r="B64" s="21">
        <f>Лист1!B10-0*0*Лист4!L36-B71*Лист4!Q36-B72*Лист4!V36</f>
        <v>0</v>
      </c>
      <c r="C64" s="15">
        <f>Лист1!C10-0*Лист4!M36-B71*Лист4!R36-B72*Лист4!W36</f>
        <v>0</v>
      </c>
      <c r="D64" s="12">
        <f>Лист1!D10-0*Лист4!N36-B71*Лист4!S36-B72*Лист4!X36</f>
        <v>0</v>
      </c>
      <c r="E64" s="90"/>
      <c r="F64" s="90"/>
      <c r="G64" s="90" t="s">
        <v>42</v>
      </c>
      <c r="H64" s="90"/>
      <c r="I64" s="90"/>
      <c r="J64" s="95">
        <f>IF(Лист1!K9=E61,18,4)</f>
        <v>18</v>
      </c>
      <c r="K64" s="96">
        <f>IF(Лист1!K9=E62,6,0)</f>
        <v>0</v>
      </c>
      <c r="L64" s="93">
        <f>IF(Лист1!K9=E62,8,0)</f>
        <v>0</v>
      </c>
      <c r="M64" s="101" t="s">
        <v>3</v>
      </c>
      <c r="N64" s="3"/>
      <c r="O64" s="95">
        <f>IF(Лист1!K9=E61,4,2)</f>
        <v>4</v>
      </c>
      <c r="P64" s="96">
        <f>IF(Лист1!K9=E61,5,3)</f>
        <v>5</v>
      </c>
      <c r="Q64" s="93">
        <f>IF(Лист1!K9=E62,4,0)</f>
        <v>0</v>
      </c>
      <c r="R64" s="101" t="s">
        <v>3</v>
      </c>
      <c r="S64" s="90"/>
      <c r="T64" s="95">
        <v>2</v>
      </c>
      <c r="U64" s="96">
        <v>3</v>
      </c>
      <c r="V64" s="93">
        <v>4</v>
      </c>
      <c r="W64" s="101" t="s">
        <v>3</v>
      </c>
      <c r="X64" s="90"/>
      <c r="Y64" s="95">
        <v>2</v>
      </c>
      <c r="Z64" s="96">
        <v>3</v>
      </c>
      <c r="AA64" s="93">
        <v>4</v>
      </c>
      <c r="AB64" s="101" t="s">
        <v>3</v>
      </c>
      <c r="AC64" s="90"/>
      <c r="AD64" s="95">
        <v>4</v>
      </c>
      <c r="AE64" s="96">
        <v>6</v>
      </c>
      <c r="AF64" s="93">
        <v>8</v>
      </c>
      <c r="AG64" s="101" t="s">
        <v>3</v>
      </c>
      <c r="AI64" s="20" t="s">
        <v>16</v>
      </c>
      <c r="AJ64" s="21">
        <f>Лист1!B10-Лист4!L36-0*Лист4!Q36-B72*Лист4!V36</f>
        <v>0</v>
      </c>
      <c r="AK64" s="15">
        <f>Лист1!C10-Лист4!M36-0*Лист4!R36-B72*Лист4!W36</f>
        <v>0</v>
      </c>
      <c r="AL64" s="12">
        <f>Лист1!D10-Лист4!N36-0*Лист4!S36-B72*Лист4!X36</f>
        <v>0</v>
      </c>
      <c r="AM64" s="20" t="s">
        <v>16</v>
      </c>
      <c r="AN64" s="21">
        <f>Лист1!B10-Лист4!L36-Лист4!Q36-0*Лист4!V36</f>
        <v>0</v>
      </c>
      <c r="AO64" s="15">
        <f>Лист1!C10-Лист4!M36-Лист4!R36-0*Лист4!W36</f>
        <v>0</v>
      </c>
      <c r="AP64" s="12">
        <f>Лист1!D10-Лист4!N36-Лист4!S36-0*Лист4!X36</f>
        <v>0</v>
      </c>
    </row>
    <row r="65" spans="1:42" ht="15.75" thickBot="1">
      <c r="A65" s="20" t="s">
        <v>18</v>
      </c>
      <c r="B65" s="22">
        <f>Лист1!B11-0*0*Лист4!L37-B71*Лист4!Q37-B72*Лист4!V37</f>
        <v>0</v>
      </c>
      <c r="C65" s="16">
        <f>Лист1!C11-0*Лист4!M37-B71*Лист4!R37-B72*Лист4!W37</f>
        <v>0</v>
      </c>
      <c r="D65" s="13">
        <f>Лист1!D11-0*Лист4!N37-B71*Лист4!S37-B72*Лист4!X37</f>
        <v>0</v>
      </c>
      <c r="E65" s="90"/>
      <c r="F65" s="90"/>
      <c r="G65" s="90" t="s">
        <v>43</v>
      </c>
      <c r="H65" s="90"/>
      <c r="I65" s="90"/>
      <c r="J65" s="90"/>
      <c r="K65" s="90"/>
      <c r="L65" s="90"/>
      <c r="M65" s="90"/>
      <c r="N65" s="106"/>
      <c r="O65" s="106"/>
      <c r="P65" s="106"/>
      <c r="Y65" s="90"/>
      <c r="Z65" s="90"/>
      <c r="AA65" s="90"/>
      <c r="AB65" s="90"/>
      <c r="AI65" s="20" t="s">
        <v>18</v>
      </c>
      <c r="AJ65" s="22">
        <f>Лист1!B11-Лист4!L37-0*Лист4!Q37-B72*Лист4!V37</f>
        <v>0</v>
      </c>
      <c r="AK65" s="16">
        <f>Лист1!C11-Лист4!M37-0*Лист4!R37-B72*Лист4!W37</f>
        <v>0</v>
      </c>
      <c r="AL65" s="13">
        <f>Лист1!D11-Лист4!N37-0*Лист4!S37-B72*Лист4!X37</f>
        <v>0</v>
      </c>
      <c r="AM65" s="20" t="s">
        <v>18</v>
      </c>
      <c r="AN65" s="22">
        <f>Лист1!B11-Лист4!L37-Лист4!Q37-0*Лист4!V37</f>
        <v>0</v>
      </c>
      <c r="AO65" s="16">
        <f>Лист1!C11-Лист4!M37-Лист4!R37-0*Лист4!W37</f>
        <v>0</v>
      </c>
      <c r="AP65" s="13">
        <f>Лист1!D11-Лист4!N37-Лист4!S37-0*Лист4!X37</f>
        <v>0</v>
      </c>
    </row>
    <row r="66" spans="1:42" ht="21.75" thickBot="1">
      <c r="A66" s="20" t="s">
        <v>19</v>
      </c>
      <c r="B66" s="22">
        <f>Лист1!B12-0*0*Лист4!L38-B71*Лист4!Q38-B72*Лист4!V38</f>
        <v>0</v>
      </c>
      <c r="C66" s="16">
        <f>Лист1!C12-0*Лист4!M38-B71*Лист4!R38-B72*Лист4!W38</f>
        <v>0</v>
      </c>
      <c r="D66" s="13">
        <f>Лист1!D12-0*Лист4!N38-B71*Лист4!S38-B72*Лист4!X38</f>
        <v>0</v>
      </c>
      <c r="E66" s="90"/>
      <c r="F66" s="90"/>
      <c r="G66" s="90"/>
      <c r="H66" s="90"/>
      <c r="I66" s="90"/>
      <c r="J66" s="90"/>
      <c r="K66" s="90"/>
      <c r="L66" s="90"/>
      <c r="M66" s="90"/>
      <c r="N66" s="2"/>
      <c r="O66" s="235"/>
      <c r="P66" s="235"/>
      <c r="Q66" s="235"/>
      <c r="Y66" s="90"/>
      <c r="Z66" s="90"/>
      <c r="AA66" s="90"/>
      <c r="AB66" s="90"/>
      <c r="AI66" s="20" t="s">
        <v>19</v>
      </c>
      <c r="AJ66" s="22">
        <f>Лист1!B12-Лист4!L38-0*Лист4!Q38-B72*Лист4!V38</f>
        <v>0</v>
      </c>
      <c r="AK66" s="16">
        <f>Лист1!C12-Лист4!M38-0*Лист4!R38-B72*Лист4!W38</f>
        <v>0</v>
      </c>
      <c r="AL66" s="13">
        <f>Лист1!D12-Лист4!N38-0*Лист4!S38-B72*Лист4!X38</f>
        <v>0</v>
      </c>
      <c r="AM66" s="20" t="s">
        <v>19</v>
      </c>
      <c r="AN66" s="22">
        <f>Лист1!B12-Лист4!L38-Лист4!Q38-0*Лист4!V38</f>
        <v>0</v>
      </c>
      <c r="AO66" s="16">
        <f>Лист1!C12-Лист4!M38-Лист4!R38-0*Лист4!W38</f>
        <v>0</v>
      </c>
      <c r="AP66" s="13">
        <f>Лист1!D12-Лист4!N38-Лист4!S38-0*Лист4!X38</f>
        <v>0</v>
      </c>
    </row>
    <row r="67" spans="1:42" ht="15.75" thickBot="1">
      <c r="A67" s="20" t="s">
        <v>21</v>
      </c>
      <c r="B67" s="23">
        <f>Лист1!B13-0*0*Лист4!L39-B71*Лист4!Q39-B72*Лист4!V39</f>
        <v>0</v>
      </c>
      <c r="C67" s="17">
        <f>Лист1!C13-0*Лист4!M39-B71*Лист4!R39-B72*Лист4!W39</f>
        <v>0</v>
      </c>
      <c r="D67" s="14">
        <f>Лист1!D13-0*Лист4!N39-B71*Лист4!S39-B72*Лист4!X39</f>
        <v>0</v>
      </c>
      <c r="E67" s="90"/>
      <c r="F67" s="90"/>
      <c r="G67" s="90" t="s">
        <v>26</v>
      </c>
      <c r="H67" s="90"/>
      <c r="I67" s="90"/>
      <c r="J67" s="236" t="s">
        <v>66</v>
      </c>
      <c r="K67" s="236"/>
      <c r="L67" s="236"/>
      <c r="M67" s="236"/>
      <c r="N67" s="90"/>
      <c r="O67" s="236" t="s">
        <v>66</v>
      </c>
      <c r="P67" s="236"/>
      <c r="Q67" s="236"/>
      <c r="R67" s="236"/>
      <c r="S67" s="90"/>
      <c r="T67" s="236" t="s">
        <v>66</v>
      </c>
      <c r="U67" s="236"/>
      <c r="V67" s="236"/>
      <c r="W67" s="236"/>
      <c r="X67" s="90"/>
      <c r="Y67" s="236" t="s">
        <v>66</v>
      </c>
      <c r="Z67" s="236"/>
      <c r="AA67" s="236"/>
      <c r="AB67" s="236"/>
      <c r="AC67" s="90"/>
      <c r="AD67" s="90"/>
      <c r="AE67" s="90"/>
      <c r="AF67" s="90"/>
      <c r="AG67" s="90"/>
      <c r="AI67" s="20" t="s">
        <v>21</v>
      </c>
      <c r="AJ67" s="23">
        <f>Лист1!B13-Лист4!L39-0*Лист4!Q39-B72*Лист4!V39</f>
        <v>0</v>
      </c>
      <c r="AK67" s="17">
        <f>Лист1!C13-Лист4!M39-0*Лист4!R39-B72*Лист4!W39</f>
        <v>0</v>
      </c>
      <c r="AL67" s="14">
        <f>Лист1!D13-Лист4!N39-0*Лист4!S39-B72*Лист4!X39</f>
        <v>0</v>
      </c>
      <c r="AM67" s="20" t="s">
        <v>21</v>
      </c>
      <c r="AN67" s="23">
        <f>Лист1!B13-Лист4!L39-Лист4!Q39-0*Лист4!V39</f>
        <v>0</v>
      </c>
      <c r="AO67" s="17">
        <f>Лист1!C13-Лист4!M39-Лист4!R39-0*Лист4!W39</f>
        <v>0</v>
      </c>
      <c r="AP67" s="14">
        <f>Лист1!D13-Лист4!N39-Лист4!S39-0*Лист4!X39</f>
        <v>0</v>
      </c>
    </row>
    <row r="68" spans="1:42" ht="15.75" thickBot="1">
      <c r="A68" s="238" t="s">
        <v>25</v>
      </c>
      <c r="B68" s="239"/>
      <c r="C68" s="239"/>
      <c r="D68" s="240"/>
      <c r="E68" s="90"/>
      <c r="F68" s="90"/>
      <c r="G68" s="90" t="s">
        <v>28</v>
      </c>
      <c r="H68" s="90"/>
      <c r="I68" s="90"/>
      <c r="J68" s="95">
        <f>IF(J76*L96-J72&gt;0,J76*L96-J72,"комплект")</f>
        <v>54</v>
      </c>
      <c r="K68" s="96" t="str">
        <f>IF(K76*L96-K72&gt;0,K76*L96-K72,"комплект")</f>
        <v>комплект</v>
      </c>
      <c r="L68" s="93" t="str">
        <f>IF(L76*L96-L72&gt;0,L76*L96-L72,"комплект")</f>
        <v>комплект</v>
      </c>
      <c r="M68" s="101" t="s">
        <v>3</v>
      </c>
      <c r="O68" s="93">
        <f>IF(Q76*L96-O72&gt;0,Q76*L96-O72,"комплект")</f>
        <v>12</v>
      </c>
      <c r="P68" s="96">
        <f>IF(P76*L96-P72&gt;0,P76*L96-P72,"комплект")</f>
        <v>15</v>
      </c>
      <c r="Q68" s="95" t="str">
        <f>IF(O76*L96-Q72&gt;0,O76*L96-Q72,"комплект")</f>
        <v>комплект</v>
      </c>
      <c r="R68" s="101" t="s">
        <v>3</v>
      </c>
      <c r="T68" s="95">
        <f>IF(T76*L96-T72&gt;0,T76*L96-T72,"комплект")</f>
        <v>6</v>
      </c>
      <c r="U68" s="96">
        <f>IF(U76*L96-U72&gt;0,U76*L96-U72,"комплект")</f>
        <v>9</v>
      </c>
      <c r="V68" s="93">
        <f>IF(V76*L96-V72&gt;0,V76*L96-V72,"комплект")</f>
        <v>16</v>
      </c>
      <c r="W68" s="101" t="s">
        <v>3</v>
      </c>
      <c r="X68" s="90"/>
      <c r="Y68" s="95">
        <f>IF(Y76*L96-Y72&gt;0,Y76*L96-Y72,"комплект")</f>
        <v>6</v>
      </c>
      <c r="Z68" s="96">
        <f>IF(Z76*L96-Z72&gt;0,Z76*L96-Z72,"комплект")</f>
        <v>13</v>
      </c>
      <c r="AA68" s="93">
        <f>IF(AA76*L96-AA72&gt;0,AA76*L96-AA72,"комплект")</f>
        <v>18</v>
      </c>
      <c r="AB68" s="101" t="s">
        <v>3</v>
      </c>
      <c r="AC68" s="90"/>
      <c r="AD68" s="107">
        <f>IF(AD76*Лист4!L96-AD72&gt;0,AD76*Лист4!L96-AD72,"комплект")</f>
        <v>16</v>
      </c>
      <c r="AE68" s="96">
        <f>IF(AE76*Лист4!L96-AE72&gt;0,AE76*Лист4!L96-AE72,"комплект")</f>
        <v>24</v>
      </c>
      <c r="AF68" s="93">
        <f>IF(AF76*Лист4!L96-AF72&gt;0,AF76*Лист4!L96-AF72,"комплект")</f>
        <v>32</v>
      </c>
      <c r="AG68" s="101" t="s">
        <v>3</v>
      </c>
      <c r="AI68" s="247" t="s">
        <v>25</v>
      </c>
      <c r="AJ68" s="248"/>
      <c r="AK68" s="248"/>
      <c r="AL68" s="249"/>
      <c r="AM68" s="247" t="s">
        <v>25</v>
      </c>
      <c r="AN68" s="248"/>
      <c r="AO68" s="248"/>
      <c r="AP68" s="249"/>
    </row>
    <row r="69" spans="1:42">
      <c r="A69" s="115" t="s">
        <v>83</v>
      </c>
      <c r="F69" s="90"/>
      <c r="G69" s="90" t="s">
        <v>9</v>
      </c>
      <c r="H69" s="90"/>
      <c r="I69" s="90"/>
      <c r="J69" s="97">
        <f>IF(J76*L97-J73&gt;0,J76*L97-J73,"комплект")</f>
        <v>18</v>
      </c>
      <c r="K69" s="92" t="str">
        <f>IF(K76*L97-K73&gt;0,K76*L97-K73,"комплект")</f>
        <v>комплект</v>
      </c>
      <c r="L69" s="94" t="str">
        <f>IF(L76*L97-L73&gt;0,L76*L97-L73,"комплект")</f>
        <v>комплект</v>
      </c>
      <c r="M69" s="102" t="s">
        <v>4</v>
      </c>
      <c r="O69" s="94">
        <f>IF(Q76*L97-O73&gt;0,Q76*L97-O73,"комплект")</f>
        <v>4</v>
      </c>
      <c r="P69" s="92">
        <f>IF(P76*L97-P73&gt;0,P76*L97-P73,"комплект")</f>
        <v>5</v>
      </c>
      <c r="Q69" s="97" t="str">
        <f>IF(O76*L97-Q73&gt;0,O76*L97-Q73,"комплект")</f>
        <v>комплект</v>
      </c>
      <c r="R69" s="102" t="s">
        <v>4</v>
      </c>
      <c r="T69" s="97">
        <f>IF(T76*L97-T73&gt;0,T76*L97-T73,"комплект")</f>
        <v>2</v>
      </c>
      <c r="U69" s="92">
        <f>IF(U76*L97-U73&gt;0,U76*L97-U73,"комплект")</f>
        <v>3</v>
      </c>
      <c r="V69" s="94">
        <f>IF(V76*L97-V73&gt;0,V76*L97-V73,"комплект")</f>
        <v>8</v>
      </c>
      <c r="W69" s="102" t="s">
        <v>4</v>
      </c>
      <c r="X69" s="90"/>
      <c r="Y69" s="97">
        <f>IF(Y76*L97-Y73&gt;0,Y76*L97-Y73,"комплект")</f>
        <v>2</v>
      </c>
      <c r="Z69" s="92">
        <f>IF(Z76*L97-Z73&gt;0,Z76*L97-Z73,"комплект")</f>
        <v>7</v>
      </c>
      <c r="AA69" s="94">
        <f>IF(AA76*L97-AA73&gt;0,AA76*L97-AA73,"комплект")</f>
        <v>10</v>
      </c>
      <c r="AB69" s="102" t="s">
        <v>4</v>
      </c>
      <c r="AC69" s="90"/>
      <c r="AD69" s="108">
        <f>IF(AD76*Лист4!L97-AD73&gt;0,AD76*Лист4!L97-AD73,"комплект")</f>
        <v>8</v>
      </c>
      <c r="AE69" s="92">
        <f>IF(AE76*Лист4!L97-AE73&gt;0,AE76*Лист4!L97-AE73,"комплект")</f>
        <v>12</v>
      </c>
      <c r="AF69" s="94">
        <f>IF(AF76*Лист4!L97-AF73&gt;0,AF76*Лист4!L97-AF73,"комплект")</f>
        <v>16</v>
      </c>
      <c r="AG69" s="102" t="s">
        <v>4</v>
      </c>
    </row>
    <row r="70" spans="1:42" ht="15.75" thickBot="1">
      <c r="A70" s="114" t="s">
        <v>84</v>
      </c>
      <c r="B70">
        <v>0</v>
      </c>
      <c r="F70" s="19"/>
      <c r="G70" s="18">
        <v>1</v>
      </c>
      <c r="H70" s="8">
        <v>2</v>
      </c>
      <c r="I70" s="11">
        <v>3</v>
      </c>
      <c r="J70" s="98">
        <f>IF(J76*L98-J74&gt;0,J76*L98-J74,"комплект")</f>
        <v>18</v>
      </c>
      <c r="K70" s="99" t="str">
        <f>IF(K76*L98-K74&gt;0,K76*L98-K74,"комплект")</f>
        <v>комплект</v>
      </c>
      <c r="L70" s="100" t="str">
        <f>IF(L76*L98-L74&gt;0,L76*L98-L74,"комплект")</f>
        <v>комплект</v>
      </c>
      <c r="M70" s="46" t="s">
        <v>5</v>
      </c>
      <c r="O70" s="100">
        <f>IF(Q76*L98-O74&gt;0,Q76*L98-O74,"комплект")</f>
        <v>4</v>
      </c>
      <c r="P70" s="99">
        <f>IF(P76*L98-P74&gt;0,P76*L98-P74,"комплект")</f>
        <v>5</v>
      </c>
      <c r="Q70" s="98" t="str">
        <f>IF(O76*L98-Q74&gt;0,O76*L98-Q74,"комплект")</f>
        <v>комплект</v>
      </c>
      <c r="R70" s="46" t="s">
        <v>5</v>
      </c>
      <c r="S70" s="90"/>
      <c r="T70" s="98">
        <f>IF(T76*L98-T74&gt;0,T76*L98-T74,"комплект")</f>
        <v>2</v>
      </c>
      <c r="U70" s="99">
        <f>IF(U76*L98-U74&gt;0,U76*L98-U74,"комплект")</f>
        <v>3</v>
      </c>
      <c r="V70" s="100">
        <f>IF(V76*L98-V74&gt;0,V76*L98-V74,"комплект")</f>
        <v>16</v>
      </c>
      <c r="W70" s="46" t="s">
        <v>5</v>
      </c>
      <c r="X70" s="90"/>
      <c r="Y70" s="98">
        <f>IF(Y76*L98-Y74&gt;0,Y76*L98-Y74,"комплект")</f>
        <v>2</v>
      </c>
      <c r="Z70" s="99">
        <f>IF(Z76*L98-Z74&gt;0,Z76*L98-Z74,"комплект")</f>
        <v>15</v>
      </c>
      <c r="AA70" s="100">
        <f>IF(AA76*L98-AA74&gt;0,AA76*L98-AA74,"комплект")</f>
        <v>22</v>
      </c>
      <c r="AB70" s="46" t="s">
        <v>5</v>
      </c>
      <c r="AC70" s="90"/>
      <c r="AD70" s="109">
        <f>IF(AD76*Лист4!L98-AD74&gt;0,AD76*Лист4!L98-AD74,"комплект")</f>
        <v>16</v>
      </c>
      <c r="AE70" s="99">
        <f>IF(AE76*Лист4!L98-AE74&gt;0,AE76*Лист4!L98-AE74,"комплект")</f>
        <v>24</v>
      </c>
      <c r="AF70" s="100">
        <f>IF(AF76*Лист4!L98-AF74&gt;0,AF76*Лист4!L98-AF74,"комплект")</f>
        <v>32</v>
      </c>
      <c r="AG70" s="46" t="s">
        <v>5</v>
      </c>
    </row>
    <row r="71" spans="1:42" ht="15.75" thickBot="1">
      <c r="A71" s="114" t="s">
        <v>85</v>
      </c>
      <c r="B71">
        <v>0</v>
      </c>
      <c r="F71" s="24" t="s">
        <v>48</v>
      </c>
      <c r="G71" s="90" t="str">
        <f>IF(Лист1!K7=E56,A58,IF(Лист1!K7=E57,A58,IF(Лист1!K7=E58,A58,IF(Лист1!K7=E59,A59,IF(Лист1!K7=E60,A60,"-")))))</f>
        <v>сияния</v>
      </c>
      <c r="H71" s="90" t="str">
        <f>IF(Лист1!K7=E57,A59,IF(Лист1!K7=E58,A59,IF(Лист1!K7=E59,A60,IF(Лист1!K7=E60,A61,"-"))))</f>
        <v>знака</v>
      </c>
      <c r="I71" s="90" t="str">
        <f>IF(Лист1!K7=E58,A60,IF(Лист1!K7=E59,A61,IF(Лист1!K7=E60,A62,"-")))</f>
        <v>основ</v>
      </c>
      <c r="J71" s="237" t="s">
        <v>67</v>
      </c>
      <c r="K71" s="237"/>
      <c r="L71" s="237"/>
      <c r="M71" s="237"/>
      <c r="N71" s="90"/>
      <c r="O71" s="237" t="s">
        <v>67</v>
      </c>
      <c r="P71" s="237"/>
      <c r="Q71" s="237"/>
      <c r="R71" s="237"/>
      <c r="S71" s="90"/>
      <c r="T71" s="237" t="s">
        <v>67</v>
      </c>
      <c r="U71" s="237"/>
      <c r="V71" s="237"/>
      <c r="W71" s="237"/>
      <c r="X71" s="90"/>
      <c r="Y71" s="237" t="s">
        <v>67</v>
      </c>
      <c r="Z71" s="237"/>
      <c r="AA71" s="237"/>
      <c r="AB71" s="237"/>
      <c r="AC71" s="90"/>
      <c r="AD71" s="237" t="s">
        <v>67</v>
      </c>
      <c r="AE71" s="237"/>
      <c r="AF71" s="237"/>
      <c r="AG71" s="237"/>
    </row>
    <row r="72" spans="1:42">
      <c r="A72" s="114" t="s">
        <v>86</v>
      </c>
      <c r="B72">
        <v>0</v>
      </c>
      <c r="F72" s="24" t="s">
        <v>47</v>
      </c>
      <c r="G72" s="2" t="str">
        <f>IF(Лист1!K7=E56,A61,IF(Лист1!K7=E57,A62,IF(Лист1!K7=E58,A63,IF(Лист1!K7=E59,A64,IF(Лист1!K7=E60,A65,"-")))))</f>
        <v>ценности</v>
      </c>
      <c r="H72" s="90" t="str">
        <f>IF(Лист1!K7=E56,A62,IF(Лист1!K7=E57,A63,IF(Лист1!K7=E58,A64,IF(Лист1!K7=E59,A65,IF(Лист1!K7=E60,A66,"-")))))</f>
        <v>торжества</v>
      </c>
      <c r="I72" s="90" t="str">
        <f>IF(Лист1!K7=E56,A63,IF(Лист1!K7=E57,A64,IF(Лист1!K7=E58,A65,IF(Лист1!K7=E59,A66,IF(Лист1!K7=E60,A67,"-")))))</f>
        <v>величия</v>
      </c>
      <c r="J72" s="95">
        <f>IF(Лист1!O9=E61,AJ58,IF(Лист1!O9=E62,AJ61,"-"))</f>
        <v>0</v>
      </c>
      <c r="K72" s="96">
        <f>IF(Лист1!O9=E62,AJ62,0)</f>
        <v>0</v>
      </c>
      <c r="L72" s="93">
        <f>IF(Лист1!O9=E62,AJ63,0)</f>
        <v>0</v>
      </c>
      <c r="M72" s="101" t="s">
        <v>3</v>
      </c>
      <c r="O72" s="93">
        <f>IF(Лист1!O9=E61,AJ58,IF(Лист1!O9=E62,AJ62,"-"))</f>
        <v>0</v>
      </c>
      <c r="P72" s="96">
        <f>IF(Лист1!O9=E61,AJ59,IF(Лист1!O9=E62,AJ63,"-"))</f>
        <v>0</v>
      </c>
      <c r="Q72" s="90">
        <f>IF(Лист1!O9=E62,AJ64,0)</f>
        <v>0</v>
      </c>
      <c r="R72" s="101" t="s">
        <v>3</v>
      </c>
      <c r="S72" s="90"/>
      <c r="T72" s="95">
        <f>IF(Лист1!O9=E61,AJ58,IF(Лист1!O9=E62,AJ63,"-"))</f>
        <v>0</v>
      </c>
      <c r="U72" s="96">
        <f>IF(Лист1!O9=E61,AJ59,IF(Лист1!O9=E62,AJ64,"-"))</f>
        <v>0</v>
      </c>
      <c r="V72" s="93">
        <f>IF(Лист1!O9=E61,AJ60,IF(Лист1!O9=E62,AJ65,"-"))</f>
        <v>-4</v>
      </c>
      <c r="W72" s="101" t="s">
        <v>3</v>
      </c>
      <c r="X72" s="90"/>
      <c r="Y72" s="95">
        <f>IF(Лист1!O9=E61,AJ59,IF(Лист1!O9=E62,AJ64,"-"))</f>
        <v>0</v>
      </c>
      <c r="Z72" s="96">
        <f>IF(Лист1!O9=E61,AJ60,IF(Лист1!O9=E62,AJ65,"-"))</f>
        <v>-4</v>
      </c>
      <c r="AA72" s="93">
        <f>IF(Лист1!O9=E61,AJ61,IF(Лист1!O9=E62,AJ66,"-"))</f>
        <v>-6</v>
      </c>
      <c r="AB72" s="101" t="s">
        <v>3</v>
      </c>
      <c r="AC72" s="90"/>
      <c r="AD72" s="107">
        <f>IF(Лист1!O9=Лист4!E61,Лист4!AJ60,IF(Лист1!O9=Лист4!E62,Лист4!AJ65,"-"))</f>
        <v>-4</v>
      </c>
      <c r="AE72" s="96">
        <f>IF(Лист1!O9=Лист4!E61,Лист4!AJ61,IF(Лист1!O9=Лист4!E62,Лист4!AJ66,"-"))</f>
        <v>-6</v>
      </c>
      <c r="AF72" s="93">
        <f>IF(Лист1!O9=Лист4!E61,Лист4!AJ62,IF(Лист1!O9=Лист4!E62,Лист4!AJ67,"-"))</f>
        <v>-8</v>
      </c>
      <c r="AG72" s="101" t="s">
        <v>3</v>
      </c>
    </row>
    <row r="73" spans="1:42">
      <c r="J73" s="97">
        <f>IF(Лист1!O9=E61,AK58,IF(Лист1!O9=E62,AK61,"-"))</f>
        <v>0</v>
      </c>
      <c r="K73" s="92">
        <f>IF(Лист1!O9=E62,AK62,0)</f>
        <v>0</v>
      </c>
      <c r="L73" s="94">
        <f>IF(Лист1!O9=E62,AK63,0)</f>
        <v>0</v>
      </c>
      <c r="M73" s="102" t="s">
        <v>4</v>
      </c>
      <c r="O73" s="94">
        <f>IF(Лист1!O9=E61,AK58,IF(Лист1!O9=E62,AK62,"-"))</f>
        <v>0</v>
      </c>
      <c r="P73" s="92">
        <f>IF(Лист1!O9=E61,AK59,IF(Лист1!O9=E62,AK63,"-"))</f>
        <v>0</v>
      </c>
      <c r="Q73" s="90">
        <f>IF(Лист1!O9=E62,AK64,0)</f>
        <v>0</v>
      </c>
      <c r="R73" s="102" t="s">
        <v>4</v>
      </c>
      <c r="S73" s="90"/>
      <c r="T73" s="97">
        <f>IF(Лист1!O9=E61,AK58,IF(Лист1!O9=E62,AK63,"-"))</f>
        <v>0</v>
      </c>
      <c r="U73" s="92">
        <f>IF(Лист1!O9=E61,AK59,IF(Лист1!O9=E62,AK64,"-"))</f>
        <v>0</v>
      </c>
      <c r="V73" s="94">
        <f>IF(Лист1!O9=E61,AK60,IF(Лист1!O9=E62,AK65,"-"))</f>
        <v>-4</v>
      </c>
      <c r="W73" s="102" t="s">
        <v>4</v>
      </c>
      <c r="X73" s="90"/>
      <c r="Y73" s="97">
        <f>IF(Лист1!O9=E61,AK59,IF(Лист1!O9=E62,AK64,"-"))</f>
        <v>0</v>
      </c>
      <c r="Z73" s="92">
        <f>IF(Лист1!O9=E61,AK60,IF(Лист1!O9=E62,AK65,"-"))</f>
        <v>-4</v>
      </c>
      <c r="AA73" s="94">
        <f>IF(Лист1!O9=E61,AK61,IF(Лист1!O9=E62,AK66,"-"))</f>
        <v>-6</v>
      </c>
      <c r="AB73" s="102" t="s">
        <v>4</v>
      </c>
      <c r="AC73" s="90"/>
      <c r="AD73" s="108">
        <f>IF(Лист1!O9=Лист4!E61,Лист4!AK60,IF(Лист1!O9=Лист4!E62,Лист4!AK65,"-"))</f>
        <v>-4</v>
      </c>
      <c r="AE73" s="92">
        <f>IF(Лист1!O9=Лист4!E61,Лист4!AK61,IF(Лист1!O9=Лист4!E62,Лист4!AK66,"-"))</f>
        <v>-6</v>
      </c>
      <c r="AF73" s="94">
        <f>IF(Лист1!O9=Лист4!E61,Лист4!AK62,IF(Лист1!O9=Лист4!E62,Лист4!AK67,"-"))</f>
        <v>-8</v>
      </c>
      <c r="AG73" s="102" t="s">
        <v>4</v>
      </c>
    </row>
    <row r="74" spans="1:42" ht="15.75" thickBot="1">
      <c r="F74" s="19"/>
      <c r="G74" s="18">
        <v>1</v>
      </c>
      <c r="H74" s="8">
        <v>2</v>
      </c>
      <c r="I74" s="11">
        <v>3</v>
      </c>
      <c r="J74" s="98">
        <f>IF(Лист1!O9=E61,AL58,IF(Лист1!O9=E62,AL61,"-"))</f>
        <v>0</v>
      </c>
      <c r="K74" s="99">
        <f>IF(Лист1!O9=E62,AL62,0)</f>
        <v>0</v>
      </c>
      <c r="L74" s="100">
        <f>IF(Лист1!O9=E62,AL63,0)</f>
        <v>0</v>
      </c>
      <c r="M74" s="46" t="s">
        <v>5</v>
      </c>
      <c r="O74" s="100">
        <f>IF(Лист1!O9=E61,AL58,IF(Лист1!O9=E62,AL62,"-"))</f>
        <v>0</v>
      </c>
      <c r="P74" s="99">
        <f>IF(Лист1!O9=E61,AL59,IF(Лист1!O9=E62,AL63,"-"))</f>
        <v>0</v>
      </c>
      <c r="Q74">
        <f>IF(Лист1!O9=E62,AL64,0)</f>
        <v>0</v>
      </c>
      <c r="R74" s="46" t="s">
        <v>5</v>
      </c>
      <c r="S74" s="90"/>
      <c r="T74" s="98">
        <f>IF(Лист1!O9=E61,AL58,IF(Лист1!O9=E62,AL63,"-"))</f>
        <v>0</v>
      </c>
      <c r="U74" s="99">
        <f>IF(Лист1!O9=E61,AL59,IF(Лист1!O9=E62,AL64,"-"))</f>
        <v>0</v>
      </c>
      <c r="V74" s="100">
        <f>IF(Лист1!O9=E61,AL60,IF(Лист1!O9=E62,AL65,"-"))</f>
        <v>-12</v>
      </c>
      <c r="W74" s="46" t="s">
        <v>5</v>
      </c>
      <c r="X74" s="90"/>
      <c r="Y74" s="98">
        <f>IF(Лист1!O9=E61,AL59,IF(Лист1!O9=E62,AL64,"-"))</f>
        <v>0</v>
      </c>
      <c r="Z74" s="99">
        <f>IF(Лист1!O9=E61,AL60,IF(Лист1!O9=E62,AL65,"-"))</f>
        <v>-12</v>
      </c>
      <c r="AA74" s="100">
        <f>IF(Лист1!O9=E61,AL61,IF(Лист1!O9=E62,AL66,"-"))</f>
        <v>-18</v>
      </c>
      <c r="AB74" s="46" t="s">
        <v>5</v>
      </c>
      <c r="AC74" s="90"/>
      <c r="AD74" s="109">
        <f>IF(Лист1!O9=Лист4!E61,Лист4!AL60,IF(Лист1!O9=Лист4!E62,Лист4!AL65,"-"))</f>
        <v>-12</v>
      </c>
      <c r="AE74" s="99">
        <f>IF(Лист1!O9=Лист4!E61,Лист4!AL61,IF(Лист1!O9=Лист4!E62,Лист4!AL66,"-"))</f>
        <v>-18</v>
      </c>
      <c r="AF74" s="100">
        <f>IF(Лист1!O9=Лист4!E61,Лист4!AL62,IF(Лист1!O9=Лист4!E62,Лист4!AL67,"-"))</f>
        <v>-24</v>
      </c>
      <c r="AG74" s="46" t="s">
        <v>5</v>
      </c>
    </row>
    <row r="75" spans="1:42" ht="15.75" thickBot="1">
      <c r="F75" s="24" t="s">
        <v>48</v>
      </c>
      <c r="G75" s="90" t="str">
        <f>IF(Лист1!O7=E56,A58,IF(Лист1!O7=E57,A58,IF(Лист1!O7=E58,A58,IF(Лист1!O7=E59,A59,IF(Лист1!O7=E60,A60,"-")))))</f>
        <v>истока</v>
      </c>
      <c r="H75" s="90" t="str">
        <f>IF(Лист1!O7=E57,A59,IF(Лист1!O7=E58,A59,IF(Лист1!O7=E59,A60,IF(Лист1!O7=E60,A61,"-"))))</f>
        <v>звучания</v>
      </c>
      <c r="I75" s="90" t="str">
        <f>IF(Лист1!O7=E58,A60,IF(Лист1!O7=E59,A61,IF(Лист1!O7=E60,A62,"-")))</f>
        <v>-</v>
      </c>
      <c r="J75" s="90" t="s">
        <v>68</v>
      </c>
      <c r="K75" s="90"/>
      <c r="L75" s="90"/>
      <c r="M75" s="90"/>
      <c r="N75" s="90"/>
      <c r="O75" s="90"/>
      <c r="P75" s="90" t="s">
        <v>67</v>
      </c>
      <c r="Q75" s="90"/>
      <c r="R75" s="90"/>
      <c r="S75" s="90"/>
      <c r="T75" s="90"/>
      <c r="U75" s="90" t="s">
        <v>69</v>
      </c>
      <c r="V75" s="90"/>
      <c r="W75" s="90"/>
      <c r="X75" s="90"/>
      <c r="Y75" s="90"/>
      <c r="Z75" s="90" t="s">
        <v>70</v>
      </c>
      <c r="AA75" s="90"/>
      <c r="AB75" s="90"/>
      <c r="AC75" s="90"/>
      <c r="AD75" s="90"/>
      <c r="AE75" s="90" t="s">
        <v>71</v>
      </c>
      <c r="AF75" s="90"/>
      <c r="AG75" s="90"/>
    </row>
    <row r="76" spans="1:42">
      <c r="F76" s="24" t="s">
        <v>47</v>
      </c>
      <c r="G76" s="2" t="str">
        <f>IF(Лист1!O7=E56,A61,IF(Лист1!O7=E57,A62,IF(Лист1!O7=E58,A63,IF(Лист1!O7=E59,A64,IF(Лист1!O7=E60,A65,"-")))))</f>
        <v>основ</v>
      </c>
      <c r="H76" s="90" t="str">
        <f>IF(Лист1!O7=E56,A62,IF(Лист1!O7=E57,A63,IF(Лист1!O7=E58,A64,IF(Лист1!O7=E59,A65,IF(Лист1!O7=E60,A66,"-")))))</f>
        <v>дара</v>
      </c>
      <c r="I76" s="90" t="str">
        <f>IF(Лист1!O7=E56,A63,IF(Лист1!O7=E57,A64,IF(Лист1!O7=E58,A65,IF(Лист1!O7=E59,A66,IF(Лист1!O7=E60,A67,"-")))))</f>
        <v>стихии</v>
      </c>
      <c r="J76" s="95">
        <f>IF(Лист1!O9=E61,18,4)</f>
        <v>18</v>
      </c>
      <c r="K76" s="96">
        <f>IF(Лист1!O9=E62,6,0)</f>
        <v>0</v>
      </c>
      <c r="L76" s="93">
        <f>IF(Лист1!O9=E62,8,0)</f>
        <v>0</v>
      </c>
      <c r="M76" s="101" t="s">
        <v>3</v>
      </c>
      <c r="N76" s="3"/>
      <c r="O76" s="95">
        <f>IF(Лист1!O9=E62,4,0)</f>
        <v>0</v>
      </c>
      <c r="P76" s="96">
        <f>IF(Лист1!O9=E61,5,3)</f>
        <v>5</v>
      </c>
      <c r="Q76" s="93">
        <f>IF(Лист1!O9=E62,2,4)</f>
        <v>4</v>
      </c>
      <c r="R76" s="101" t="s">
        <v>3</v>
      </c>
      <c r="S76" s="90"/>
      <c r="T76" s="95">
        <v>2</v>
      </c>
      <c r="U76" s="96">
        <v>3</v>
      </c>
      <c r="V76" s="93">
        <v>4</v>
      </c>
      <c r="W76" s="101" t="s">
        <v>3</v>
      </c>
      <c r="X76" s="90"/>
      <c r="Y76" s="95">
        <v>2</v>
      </c>
      <c r="Z76" s="96">
        <v>3</v>
      </c>
      <c r="AA76" s="93">
        <v>4</v>
      </c>
      <c r="AB76" s="101" t="s">
        <v>3</v>
      </c>
      <c r="AC76" s="90"/>
      <c r="AD76" s="95">
        <v>4</v>
      </c>
      <c r="AE76" s="96">
        <v>6</v>
      </c>
      <c r="AF76" s="93">
        <v>8</v>
      </c>
      <c r="AG76" s="101" t="s">
        <v>3</v>
      </c>
    </row>
    <row r="78" spans="1:42" ht="15.75" thickBot="1">
      <c r="F78" s="19"/>
      <c r="G78" s="18">
        <v>1</v>
      </c>
      <c r="H78" s="8">
        <v>2</v>
      </c>
      <c r="I78" s="11">
        <v>3</v>
      </c>
    </row>
    <row r="79" spans="1:42">
      <c r="F79" s="24" t="s">
        <v>48</v>
      </c>
      <c r="G79" s="90" t="str">
        <f>IF(Лист1!S7=E56,A58,IF(Лист1!S7=E57,A58,IF(Лист1!S7=E58,A58,IF(Лист1!S7=E59,A59,IF(Лист1!S7=E60,A60,"-")))))</f>
        <v>-</v>
      </c>
      <c r="H79" s="90" t="str">
        <f>IF(Лист1!S7=E57,A59,IF(Лист1!S7=E58,A59,IF(Лист1!S7=E59,A60,IF(Лист1!S7=E60,A61,"-"))))</f>
        <v>-</v>
      </c>
      <c r="I79" s="90" t="str">
        <f>IF(Лист1!S7=E58,A60,IF(Лист1!S7=E59,A61,IF(Лист1!S7=E60,A62,"-")))</f>
        <v>-</v>
      </c>
    </row>
    <row r="80" spans="1:42" ht="15.75" thickBot="1">
      <c r="F80" s="24" t="s">
        <v>47</v>
      </c>
      <c r="G80" s="2" t="str">
        <f>IF(Лист1!S7=E56,A61,IF(Лист1!S7=E57,A62,IF(Лист1!S7=E58,A63,IF(Лист1!S7=E59,A64,IF(Лист1!S7=E60,A65,"-")))))</f>
        <v>-</v>
      </c>
      <c r="H80" s="90" t="str">
        <f>IF(Лист1!S7=E56,A62,IF(Лист1!S7=E57,A63,IF(Лист1!S7=E58,A64,IF(Лист1!S7=E59,A65,IF(Лист1!S7=E60,A66,"-")))))</f>
        <v>-</v>
      </c>
      <c r="I80" s="90" t="str">
        <f>IF(Лист1!S7=E56,A63,IF(Лист1!S7=E57,A64,IF(Лист1!S7=E58,A65,IF(Лист1!S7=E59,A66,IF(Лист1!S7=E60,A67,"-")))))</f>
        <v>-</v>
      </c>
      <c r="J80" s="236" t="s">
        <v>66</v>
      </c>
      <c r="K80" s="236"/>
      <c r="L80" s="236"/>
      <c r="M80" s="236"/>
      <c r="N80" s="90"/>
      <c r="O80" s="236" t="s">
        <v>66</v>
      </c>
      <c r="P80" s="236"/>
      <c r="Q80" s="236"/>
      <c r="R80" s="236"/>
      <c r="S80" s="90"/>
      <c r="T80" s="236" t="s">
        <v>66</v>
      </c>
      <c r="U80" s="236"/>
      <c r="V80" s="236"/>
      <c r="W80" s="236"/>
      <c r="X80" s="90"/>
      <c r="Y80" s="236" t="s">
        <v>66</v>
      </c>
      <c r="Z80" s="236"/>
      <c r="AA80" s="236"/>
      <c r="AB80" s="236"/>
      <c r="AC80" s="90"/>
      <c r="AD80" s="90"/>
      <c r="AE80" s="90"/>
      <c r="AF80" s="90"/>
      <c r="AG80" s="90"/>
    </row>
    <row r="81" spans="1:33">
      <c r="D81" s="90"/>
      <c r="J81" s="95">
        <f>IF(J89*K96-J85&gt;0,J89*K96-J85,"комплект")</f>
        <v>30</v>
      </c>
      <c r="K81" s="96" t="str">
        <f>IF(K89*K96-K85&gt;0,K89*K96-K85,"комплект")</f>
        <v>комплект</v>
      </c>
      <c r="L81" s="93" t="str">
        <f>IF(L89*K96-L85&gt;0,L89*K96-L85,"комплект")</f>
        <v>комплект</v>
      </c>
      <c r="M81" s="101" t="s">
        <v>3</v>
      </c>
      <c r="N81" s="3"/>
      <c r="O81" s="95">
        <f>IF(O89*K96-O85&gt;0,O89*K96-O85,"комплект")</f>
        <v>16</v>
      </c>
      <c r="P81" s="96">
        <f>IF(P89*K96-P85&gt;0,P89*K96-P85,"комплект")</f>
        <v>20</v>
      </c>
      <c r="Q81" s="93" t="str">
        <f>IF(Q89*K96-Q85&gt;0,Q89*K96-Q85,"комплект")</f>
        <v>комплект</v>
      </c>
      <c r="R81" s="101" t="s">
        <v>3</v>
      </c>
      <c r="S81" s="90"/>
      <c r="T81" s="95">
        <f>IF(T89*K96-T85&gt;0,T89*K96-T85,"комплект")</f>
        <v>14</v>
      </c>
      <c r="U81" s="96">
        <f>IF(U89*K96-U85&gt;0,U89*K96-U85,"комплект")</f>
        <v>18</v>
      </c>
      <c r="V81" s="93">
        <f>IF(V89*K96-V85&gt;0,V89*K96-V85,"комплект")</f>
        <v>8</v>
      </c>
      <c r="W81" s="101" t="s">
        <v>3</v>
      </c>
      <c r="X81" s="90"/>
      <c r="Y81" s="95">
        <f>IF(Y89*K96-Y85&gt;0,Y89*K96-Y85,"комплект")</f>
        <v>17</v>
      </c>
      <c r="Z81" s="96">
        <f>IF(Z89*K96-Z85&gt;0,Z89*K96-Z85,"комплект")</f>
        <v>7</v>
      </c>
      <c r="AA81" s="93">
        <f>IF(AA89*K96-AA85&gt;0,AA89*K96-AA85,"комплект")</f>
        <v>10</v>
      </c>
      <c r="AB81" s="101" t="s">
        <v>3</v>
      </c>
      <c r="AC81" s="90"/>
      <c r="AD81" s="107">
        <f>IF(AD89*K96-AD85&gt;0,AD89*K96-AD85,"комплект")</f>
        <v>8</v>
      </c>
      <c r="AE81" s="96">
        <f>IF(AE89*K96-AE85&gt;0,AE89*K96-AE85,"комплект")</f>
        <v>12</v>
      </c>
      <c r="AF81" s="93">
        <f>IF(AF89*K96-AF85&gt;0,AF89*K96-AF85,"комплект")</f>
        <v>16</v>
      </c>
      <c r="AG81" s="101" t="s">
        <v>3</v>
      </c>
    </row>
    <row r="82" spans="1:33">
      <c r="J82" s="97">
        <f>IF(J89*K97-J86&gt;0,J89*K97-J86,"комплект")</f>
        <v>58</v>
      </c>
      <c r="K82" s="92" t="str">
        <f>IF(K89*K97-K86&gt;0,K89*K97-K86,"комплект")</f>
        <v>комплект</v>
      </c>
      <c r="L82" s="94" t="str">
        <f>IF(L89*K97-L86&gt;0,L89*K97-L86,"комплект")</f>
        <v>комплект</v>
      </c>
      <c r="M82" s="102" t="s">
        <v>4</v>
      </c>
      <c r="N82" s="3"/>
      <c r="O82" s="97">
        <f>IF(O89*K97-O86&gt;0,O89*K97-O86,"комплект")</f>
        <v>16</v>
      </c>
      <c r="P82" s="92">
        <f>IF(P89*K97-P86&gt;0,P89*K97-P86,"комплект")</f>
        <v>20</v>
      </c>
      <c r="Q82" s="94" t="str">
        <f>IF(Q89*K97-Q86&gt;0,Q89*K97-Q86,"комплект")</f>
        <v>комплект</v>
      </c>
      <c r="R82" s="102" t="s">
        <v>4</v>
      </c>
      <c r="S82" s="90"/>
      <c r="T82" s="97">
        <f>IF(T89*K97-T86&gt;0,T89*K97-T86,"комплект")</f>
        <v>10</v>
      </c>
      <c r="U82" s="92">
        <f>IF(U89*K97-U86&gt;0,U89*K97-U86,"комплект")</f>
        <v>14</v>
      </c>
      <c r="V82" s="94">
        <f>IF(V89*K97-V86&gt;0,V89*K97-V86,"комплект")</f>
        <v>16</v>
      </c>
      <c r="W82" s="102" t="s">
        <v>4</v>
      </c>
      <c r="X82" s="90"/>
      <c r="Y82" s="97">
        <f>IF(Y89*K97-Y86&gt;0,Y89*K97-Y86,"комплект")</f>
        <v>11</v>
      </c>
      <c r="Z82" s="92">
        <f>IF(Z89*K97-Z86&gt;0,Z89*K97-Z86,"комплект")</f>
        <v>13</v>
      </c>
      <c r="AA82" s="94">
        <f>IF(AA89*K97-AA86&gt;0,AA89*K97-AA86,"комплект")</f>
        <v>18</v>
      </c>
      <c r="AB82" s="102" t="s">
        <v>4</v>
      </c>
      <c r="AC82" s="90"/>
      <c r="AD82" s="108">
        <f>IF(AD89*K97-AD86&gt;0,AD89*K97-AD86,"комплект")</f>
        <v>16</v>
      </c>
      <c r="AE82" s="92">
        <f>IF(AE89*K97-AE86&gt;0,AE89*K97-AE86,"комплект")</f>
        <v>24</v>
      </c>
      <c r="AF82" s="94">
        <f>IF(AF89*K97-AF86&gt;0,AF89*K97-AF86,"комплект")</f>
        <v>32</v>
      </c>
      <c r="AG82" s="102" t="s">
        <v>4</v>
      </c>
    </row>
    <row r="83" spans="1:33" ht="15.75" thickBot="1">
      <c r="J83" s="98">
        <f>IF(J89*K98-J87&gt;0,J89*K98-J87,"комплект")</f>
        <v>22</v>
      </c>
      <c r="K83" s="99" t="str">
        <f>IF(K89*K98-K87&gt;0,K89*K98-K87,"комплект")</f>
        <v>комплект</v>
      </c>
      <c r="L83" s="100" t="str">
        <f>IF(L89*K98-L87&gt;0,L89*K98-L87,"комплект")</f>
        <v>комплект</v>
      </c>
      <c r="M83" s="46" t="s">
        <v>5</v>
      </c>
      <c r="N83" s="3"/>
      <c r="O83" s="98">
        <f>IF(O89*K98-O87&gt;0,O89*K98-O87,"комплект")</f>
        <v>8</v>
      </c>
      <c r="P83" s="99">
        <f>IF(P89*K98-P87&gt;0,P89*K98-P87,"комплект")</f>
        <v>10</v>
      </c>
      <c r="Q83" s="100" t="str">
        <f>IF(Q89*K98-Q87&gt;0,Q89*K98-Q87,"комплект")</f>
        <v>комплект</v>
      </c>
      <c r="R83" s="46" t="s">
        <v>5</v>
      </c>
      <c r="S83" s="90"/>
      <c r="T83" s="98">
        <f>IF(T89*K98-T87&gt;0,T89*K98-T87,"комплект")</f>
        <v>6</v>
      </c>
      <c r="U83" s="99">
        <f>IF(U89*K98-U87&gt;0,U89*K98-U87,"комплект")</f>
        <v>8</v>
      </c>
      <c r="V83" s="100">
        <f>IF(V89*K98-V87&gt;0,V89*K98-V87,"комплект")</f>
        <v>16</v>
      </c>
      <c r="W83" s="46" t="s">
        <v>5</v>
      </c>
      <c r="X83" s="90"/>
      <c r="Y83" s="98">
        <f>IF(Y89*K98-Y87&gt;0,Y89*K98-Y87,"комплект")</f>
        <v>7</v>
      </c>
      <c r="Z83" s="99">
        <f>IF(Z89*K98-Z87&gt;0,Z89*K98-Z87,"комплект")</f>
        <v>15</v>
      </c>
      <c r="AA83" s="100">
        <f>IF(AA89*K98-AA87&gt;0,AA89*K98-AA87,"комплект")</f>
        <v>22</v>
      </c>
      <c r="AB83" s="46" t="s">
        <v>5</v>
      </c>
      <c r="AC83" s="90"/>
      <c r="AD83" s="109">
        <f>IF(AD89*K98-AD87&gt;0,AD89*K98-AD87,"комплект")</f>
        <v>16</v>
      </c>
      <c r="AE83" s="99">
        <f>IF(AE89*K98-AE87&gt;0,AE89*K98-AE87,"комплект")</f>
        <v>24</v>
      </c>
      <c r="AF83" s="100">
        <f>IF(AF89*K98-AF87&gt;0,AF89*K98-AF87,"комплект")</f>
        <v>32</v>
      </c>
      <c r="AG83" s="46" t="s">
        <v>5</v>
      </c>
    </row>
    <row r="84" spans="1:33" ht="15.75" thickBot="1">
      <c r="J84" s="237" t="s">
        <v>67</v>
      </c>
      <c r="K84" s="237"/>
      <c r="L84" s="237"/>
      <c r="M84" s="237"/>
      <c r="N84" s="90"/>
      <c r="O84" s="237" t="s">
        <v>67</v>
      </c>
      <c r="P84" s="237"/>
      <c r="Q84" s="237"/>
      <c r="R84" s="237"/>
      <c r="S84" s="90"/>
      <c r="T84" s="237" t="s">
        <v>67</v>
      </c>
      <c r="U84" s="237"/>
      <c r="V84" s="237"/>
      <c r="W84" s="237"/>
      <c r="X84" s="90"/>
      <c r="Y84" s="237" t="s">
        <v>67</v>
      </c>
      <c r="Z84" s="237"/>
      <c r="AA84" s="237"/>
      <c r="AB84" s="237"/>
      <c r="AC84" s="90"/>
      <c r="AD84" s="237" t="s">
        <v>67</v>
      </c>
      <c r="AE84" s="237"/>
      <c r="AF84" s="237"/>
      <c r="AG84" s="237"/>
    </row>
    <row r="85" spans="1:33">
      <c r="J85" s="95">
        <f>IF(Лист1!S9=E61,AN58,IF(Лист1!S9=E62,AN61,"-"))</f>
        <v>-12</v>
      </c>
      <c r="K85" s="96">
        <f>IF(Лист1!S9=E62,AN62,0)</f>
        <v>0</v>
      </c>
      <c r="L85" s="93">
        <f>IF(Лист1!S9=E62,AN63,0)</f>
        <v>0</v>
      </c>
      <c r="M85" s="101" t="s">
        <v>3</v>
      </c>
      <c r="N85" s="90"/>
      <c r="O85" s="95">
        <f>IF(Лист1!S9=E61,AN58,IF(Лист1!S9=E62,AN62,"-"))</f>
        <v>-12</v>
      </c>
      <c r="P85" s="96">
        <f>IF(Лист1!S9=E61,AN59,IF(Лист1!S9=E62,AN63,"-"))</f>
        <v>-15</v>
      </c>
      <c r="Q85" s="93">
        <f>IF(Лист1!S9=E62,AN64,0)</f>
        <v>0</v>
      </c>
      <c r="R85" s="101" t="s">
        <v>3</v>
      </c>
      <c r="S85" s="90"/>
      <c r="T85" s="95">
        <f>IF(Лист1!S9=E61,AN58,IF(Лист1!S9=E62,AN63,"-"))</f>
        <v>-12</v>
      </c>
      <c r="U85" s="96">
        <f>IF(Лист1!S9=E61,AN59,IF(Лист1!S9=E62,AN64,"-"))</f>
        <v>-15</v>
      </c>
      <c r="V85" s="93">
        <f>IF(Лист1!S9=E61,AN60,IF(Лист1!S9=E62,AN65,"-"))</f>
        <v>-4</v>
      </c>
      <c r="W85" s="101" t="s">
        <v>3</v>
      </c>
      <c r="X85" s="90"/>
      <c r="Y85" s="95">
        <f>IF(Лист1!S9=E61,AN59,IF(Лист1!S9=E62,AN64,"-"))</f>
        <v>-15</v>
      </c>
      <c r="Z85" s="96">
        <f>IF(Лист1!S9=E61,AN60,IF(Лист1!S9=E62,AN65,"-"))</f>
        <v>-4</v>
      </c>
      <c r="AA85" s="93">
        <f>IF(Лист1!S9=E61,AN61,IF(Лист1!S9=E62,AN66,"-"))</f>
        <v>-6</v>
      </c>
      <c r="AB85" s="101" t="s">
        <v>3</v>
      </c>
      <c r="AC85" s="90"/>
      <c r="AD85" s="107">
        <f>IF(Лист1!S9=E61,AN60,IF(Лист1!S9=E62,AN65,"-"))</f>
        <v>-4</v>
      </c>
      <c r="AE85" s="96">
        <f>IF(Лист1!S9=E61,AN61,IF(Лист1!S9=E62,AN66,"-"))</f>
        <v>-6</v>
      </c>
      <c r="AF85" s="93">
        <f>IF(Лист1!S9=E61,AN62,IF(Лист1!S9=E62,AN67,"-"))</f>
        <v>-8</v>
      </c>
      <c r="AG85" s="101" t="s">
        <v>3</v>
      </c>
    </row>
    <row r="86" spans="1:33">
      <c r="J86" s="97">
        <f>IF(Лист1!S9=E61,AO58,IF(Лист1!S9=E62,AO61,"-"))</f>
        <v>-4</v>
      </c>
      <c r="K86" s="92">
        <f>IF(Лист1!S9=E62,AO62,0)</f>
        <v>0</v>
      </c>
      <c r="L86" s="94">
        <f>IF(Лист1!S9=E62,AO63,0)</f>
        <v>0</v>
      </c>
      <c r="M86" s="102" t="s">
        <v>4</v>
      </c>
      <c r="N86" s="90"/>
      <c r="O86" s="97">
        <f>IF(Лист1!S9=E61,AO58,IF(Лист1!S9=E62,AO62,"-"))</f>
        <v>-4</v>
      </c>
      <c r="P86" s="92">
        <f>IF(Лист1!S9=E61,AO59,IF(Лист1!S9=E62,AO63,"-"))</f>
        <v>-5</v>
      </c>
      <c r="Q86" s="94">
        <f>IF(Лист1!S9=E62,AO64,0)</f>
        <v>0</v>
      </c>
      <c r="R86" s="102" t="s">
        <v>4</v>
      </c>
      <c r="S86" s="90"/>
      <c r="T86" s="97">
        <f>IF(Лист1!S9=E61,AO58,IF(Лист1!S9=E62,AO63,"-"))</f>
        <v>-4</v>
      </c>
      <c r="U86" s="92">
        <f>IF(Лист1!S9=E61,AO59,IF(Лист1!S9=E62,AO64,"-"))</f>
        <v>-5</v>
      </c>
      <c r="V86" s="94">
        <f>IF(Лист1!S9=E61,AO60,IF(Лист1!S9=E62,AO65,"-"))</f>
        <v>-4</v>
      </c>
      <c r="W86" s="102" t="s">
        <v>4</v>
      </c>
      <c r="X86" s="90"/>
      <c r="Y86" s="97">
        <f>IF(Лист1!S9=E61,AO59,IF(Лист1!S9=E62,AO64,"-"))</f>
        <v>-5</v>
      </c>
      <c r="Z86" s="92">
        <f>IF(Лист1!S9=E61,AO60,IF(Лист1!S9=E62,AO65,"-"))</f>
        <v>-4</v>
      </c>
      <c r="AA86" s="94">
        <f>IF(Лист1!S9=E61,AO61,IF(Лист1!S9=E62,AO66,"-"))</f>
        <v>-6</v>
      </c>
      <c r="AB86" s="102" t="s">
        <v>4</v>
      </c>
      <c r="AC86" s="90"/>
      <c r="AD86" s="108">
        <f>IF(Лист1!S9=E61,AO60,IF(Лист1!S9=E62,AO65,"-"))</f>
        <v>-4</v>
      </c>
      <c r="AE86" s="92">
        <f>IF(Лист1!S9=E61,AO61,IF(Лист1!S9=E62,AO66,"-"))</f>
        <v>-6</v>
      </c>
      <c r="AF86" s="94">
        <f>IF(Лист1!S9=E61,AO62,IF(Лист1!S9=E62,AO67,"-"))</f>
        <v>-8</v>
      </c>
      <c r="AG86" s="102" t="s">
        <v>4</v>
      </c>
    </row>
    <row r="87" spans="1:33" ht="15.75" thickBot="1">
      <c r="J87" s="98">
        <f>IF(Лист1!S9=E61,AP58,IF(Лист1!S9=E62,AP61,"-"))</f>
        <v>-4</v>
      </c>
      <c r="K87" s="99">
        <f>IF(Лист1!S9=E62,AP62,0)</f>
        <v>0</v>
      </c>
      <c r="L87" s="100">
        <f>IF(Лист1!S9=E62,AP63,0)</f>
        <v>0</v>
      </c>
      <c r="M87" s="46" t="s">
        <v>5</v>
      </c>
      <c r="N87" s="90"/>
      <c r="O87" s="98">
        <f>IF(Лист1!S9=E61,AP58,IF(Лист1!S9=E62,AP62,"-"))</f>
        <v>-4</v>
      </c>
      <c r="P87" s="99">
        <f>IF(Лист1!S9=E61,AP59,IF(Лист1!S9=E62,AP63,"-"))</f>
        <v>-5</v>
      </c>
      <c r="Q87" s="100">
        <f>IF(Лист1!S9=E62,AP64,0)</f>
        <v>0</v>
      </c>
      <c r="R87" s="46" t="s">
        <v>5</v>
      </c>
      <c r="S87" s="90"/>
      <c r="T87" s="98">
        <f>IF(Лист1!S9=E61,AP58,IF(Лист1!S9=E62,AP63,"-"))</f>
        <v>-4</v>
      </c>
      <c r="U87" s="99">
        <f>IF(Лист1!S9=E61,AP59,IF(Лист1!S9=E62,AP64,"-"))</f>
        <v>-5</v>
      </c>
      <c r="V87" s="100">
        <f>IF(Лист1!S9=E61,AP60,IF(Лист1!S9=E62,AP65,"-"))</f>
        <v>-12</v>
      </c>
      <c r="W87" s="46" t="s">
        <v>5</v>
      </c>
      <c r="X87" s="90"/>
      <c r="Y87" s="98">
        <f>IF(Лист1!S9=E61,AP59,IF(Лист1!S9=E62,AP64,"-"))</f>
        <v>-5</v>
      </c>
      <c r="Z87" s="99">
        <f>IF(Лист1!S9=E61,AP60,IF(Лист1!S9=E62,AP65,"-"))</f>
        <v>-12</v>
      </c>
      <c r="AA87" s="100">
        <f>IF(Лист1!S9=E61,AP61,IF(Лист1!S9=E62,AP66,"-"))</f>
        <v>-18</v>
      </c>
      <c r="AB87" s="46" t="s">
        <v>5</v>
      </c>
      <c r="AC87" s="90"/>
      <c r="AD87" s="109">
        <f>IF(Лист1!S9=E61,AP60,IF(Лист1!S9=E62,AP65,"-"))</f>
        <v>-12</v>
      </c>
      <c r="AE87" s="99">
        <f>IF(Лист1!S9=E61,AP61,IF(Лист1!S9=E62,AP66,"-"))</f>
        <v>-18</v>
      </c>
      <c r="AF87" s="100">
        <f>IF(Лист1!S9=E61,AP62,IF(Лист1!S9=E62,AP67,"-"))</f>
        <v>-24</v>
      </c>
      <c r="AG87" s="46" t="s">
        <v>5</v>
      </c>
    </row>
    <row r="88" spans="1:33" ht="15.75" thickBot="1">
      <c r="J88" s="90" t="s">
        <v>68</v>
      </c>
      <c r="K88" s="90"/>
      <c r="L88" s="90"/>
      <c r="M88" s="90"/>
      <c r="N88" s="90"/>
      <c r="O88" s="90"/>
      <c r="P88" s="90" t="s">
        <v>67</v>
      </c>
      <c r="Q88" s="90"/>
      <c r="R88" s="90"/>
      <c r="S88" s="90"/>
      <c r="T88" s="90"/>
      <c r="U88" s="90" t="s">
        <v>69</v>
      </c>
      <c r="V88" s="90"/>
      <c r="W88" s="90"/>
      <c r="X88" s="90"/>
      <c r="Y88" s="90"/>
      <c r="Z88" s="90" t="s">
        <v>70</v>
      </c>
      <c r="AA88" s="90"/>
      <c r="AB88" s="90"/>
      <c r="AC88" s="90"/>
      <c r="AD88" s="90"/>
      <c r="AE88" s="90" t="s">
        <v>71</v>
      </c>
      <c r="AF88" s="90"/>
      <c r="AG88" s="90"/>
    </row>
    <row r="89" spans="1:33">
      <c r="J89" s="95">
        <f>IF(Лист1!S9=E61,18,4)</f>
        <v>18</v>
      </c>
      <c r="K89" s="96">
        <f>IF(Лист1!S9=E62,6,0)</f>
        <v>0</v>
      </c>
      <c r="L89" s="93">
        <f>IF(Лист1!S9=E62,8,0)</f>
        <v>0</v>
      </c>
      <c r="M89" s="101" t="s">
        <v>3</v>
      </c>
      <c r="N89" s="3"/>
      <c r="O89" s="95">
        <f>IF(Лист1!S9=E61,4,2)</f>
        <v>4</v>
      </c>
      <c r="P89" s="96">
        <f>IF(Лист1!S9=E61,5,3)</f>
        <v>5</v>
      </c>
      <c r="Q89" s="93">
        <f>IF(Лист1!S9=E62,4,0)</f>
        <v>0</v>
      </c>
      <c r="R89" s="101" t="s">
        <v>3</v>
      </c>
      <c r="S89" s="90"/>
      <c r="T89" s="95">
        <v>2</v>
      </c>
      <c r="U89" s="96">
        <v>3</v>
      </c>
      <c r="V89" s="93">
        <v>4</v>
      </c>
      <c r="W89" s="101" t="s">
        <v>3</v>
      </c>
      <c r="X89" s="90"/>
      <c r="Y89" s="95">
        <v>2</v>
      </c>
      <c r="Z89" s="96">
        <v>3</v>
      </c>
      <c r="AA89" s="93">
        <v>4</v>
      </c>
      <c r="AB89" s="101" t="s">
        <v>3</v>
      </c>
      <c r="AC89" s="90"/>
      <c r="AD89" s="95">
        <v>4</v>
      </c>
      <c r="AE89" s="96">
        <v>6</v>
      </c>
      <c r="AF89" s="93">
        <v>8</v>
      </c>
      <c r="AG89" s="101" t="s">
        <v>3</v>
      </c>
    </row>
    <row r="90" spans="1:33">
      <c r="J90" s="90"/>
      <c r="K90" s="90"/>
      <c r="L90" s="90"/>
      <c r="M90" s="90"/>
      <c r="N90" s="106"/>
      <c r="O90" s="106"/>
      <c r="P90" s="106"/>
      <c r="Q90" s="106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</row>
    <row r="91" spans="1:33">
      <c r="J91" s="3"/>
      <c r="K91" s="90" t="s">
        <v>64</v>
      </c>
      <c r="L91" s="90"/>
      <c r="M91" s="90"/>
      <c r="N91" s="90"/>
      <c r="O91" s="90"/>
      <c r="P91" s="90"/>
      <c r="Q91" s="90"/>
      <c r="R91" s="90"/>
      <c r="S91" s="90"/>
    </row>
    <row r="92" spans="1:33" ht="15.75">
      <c r="J92" s="110"/>
      <c r="K92" s="90" t="s">
        <v>26</v>
      </c>
      <c r="L92" s="90">
        <f>IF(Лист4!Y42=K92,3,IF(Лист4!Y42=K93,1,IF(Лист4!Y42=K94,1,"-")))</f>
        <v>1</v>
      </c>
      <c r="M92" s="90">
        <f>IF(Лист4!AC42=K92,3,IF(Лист4!AC42=K93,1,IF(Лист4!AC42=K94,1,"-")))</f>
        <v>1</v>
      </c>
      <c r="N92" s="90"/>
      <c r="O92" s="90"/>
      <c r="P92" s="90"/>
      <c r="Q92" s="90"/>
      <c r="R92" s="90"/>
      <c r="S92" s="90"/>
    </row>
    <row r="93" spans="1:33" ht="15.75">
      <c r="A93" s="90"/>
      <c r="B93" s="90"/>
      <c r="C93" s="90"/>
      <c r="D93" s="90"/>
      <c r="E93" s="90"/>
      <c r="F93" s="90"/>
      <c r="G93" s="90"/>
      <c r="H93" s="90"/>
      <c r="I93" s="90"/>
      <c r="J93" s="110"/>
      <c r="K93" s="90" t="s">
        <v>28</v>
      </c>
      <c r="L93" s="90">
        <f>IF(Лист4!Y42=K93,3,IF(Лист4!Y42=K92,1,IF(Лист4!Y42=K94,1,"-")))</f>
        <v>1</v>
      </c>
      <c r="M93" s="90">
        <f>IF(Лист4!AC42=K93,3,IF(Лист4!AC42=K92,1,IF(Лист4!AC42=K94,1,"-")))</f>
        <v>1</v>
      </c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</row>
    <row r="94" spans="1:33" ht="15.75">
      <c r="A94" s="90"/>
      <c r="B94" s="90"/>
      <c r="C94" s="90"/>
      <c r="D94" s="90"/>
      <c r="E94" s="90"/>
      <c r="F94" s="90"/>
      <c r="G94" s="90"/>
      <c r="H94" s="90"/>
      <c r="I94" s="90"/>
      <c r="J94" s="110"/>
      <c r="K94" s="90" t="s">
        <v>9</v>
      </c>
      <c r="L94" s="90">
        <f>IF(Лист4!Y42=K94,3,IF(Лист4!Y42=K93,1,IF(Лист4!Y42=K92,1,"-")))</f>
        <v>3</v>
      </c>
      <c r="M94" s="90">
        <f>IF(Лист4!AC42=K94,3,IF(Лист4!AC42=K93,1,IF(Лист4!AC42=K92,1,"-")))</f>
        <v>3</v>
      </c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</row>
    <row r="95" spans="1:33">
      <c r="E95" s="90"/>
      <c r="F95" s="90"/>
      <c r="G95" s="90"/>
      <c r="H95" s="90"/>
      <c r="I95" s="90"/>
      <c r="J95" s="90"/>
      <c r="K95" s="90" t="s">
        <v>51</v>
      </c>
      <c r="L95" s="90" t="s">
        <v>52</v>
      </c>
      <c r="M95" s="90" t="s">
        <v>53</v>
      </c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</row>
    <row r="96" spans="1:33">
      <c r="E96" s="90"/>
      <c r="F96" s="90"/>
      <c r="G96" s="90"/>
      <c r="H96" s="90"/>
      <c r="I96" s="90"/>
      <c r="J96" s="90">
        <f>IF(Лист4!Y42=K92,3,IF(Лист4!Y42=K91,0,1))</f>
        <v>1</v>
      </c>
      <c r="K96" s="90">
        <f>IF(Лист1!S10=K92,3,IF(Лист1!S10=K91,0,1))</f>
        <v>1</v>
      </c>
      <c r="L96" s="90">
        <f>IF(Лист1!O10=K92,3,IF(Лист1!O10=K91,0,1))</f>
        <v>3</v>
      </c>
      <c r="M96" s="90">
        <f>IF(Лист1!K10=K92,3,IF(Лист1!K10=K91,0,1))</f>
        <v>1</v>
      </c>
      <c r="N96" s="90" t="s">
        <v>54</v>
      </c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</row>
    <row r="97" spans="5:46">
      <c r="E97" s="90"/>
      <c r="F97" s="90"/>
      <c r="G97" s="90"/>
      <c r="H97" s="90"/>
      <c r="I97" s="90"/>
      <c r="J97" s="90">
        <f>IF(Лист4!Y42=K93,3,IF(Лист4!Y42=K91,0,1))</f>
        <v>1</v>
      </c>
      <c r="K97" s="90">
        <f>IF(Лист1!S10=K93,3,IF(Лист1!S10=K91,0,1))</f>
        <v>3</v>
      </c>
      <c r="L97" s="90">
        <f>IF(Лист1!O10=K93,3,IF(Лист1!O10=K91,0,1))</f>
        <v>1</v>
      </c>
      <c r="M97" s="90">
        <f>IF(Лист1!K10=K93,3,IF(Лист1!K10=K91,0,1))</f>
        <v>1</v>
      </c>
      <c r="N97" s="90" t="s">
        <v>55</v>
      </c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</row>
    <row r="98" spans="5:46">
      <c r="E98" s="90"/>
      <c r="F98" s="90"/>
      <c r="G98" s="90"/>
      <c r="H98" s="90"/>
      <c r="I98" s="90"/>
      <c r="J98" s="90">
        <f>IF(Лист4!Y42=K94,3,IF(Лист4!Y42=K91,0,1))</f>
        <v>3</v>
      </c>
      <c r="K98" s="90">
        <f>IF(Лист1!S10=K94,3,IF(Лист1!S10=K91,0,1))</f>
        <v>1</v>
      </c>
      <c r="L98" s="90">
        <f>IF(Лист1!O10=K94,3,IF(Лист1!O10=K91,0,1))</f>
        <v>1</v>
      </c>
      <c r="M98" s="90">
        <f>IF(Лист1!K10=K94,3,IF(Лист1!K10=K91,0,1))</f>
        <v>3</v>
      </c>
      <c r="N98" s="90" t="s">
        <v>56</v>
      </c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</row>
    <row r="99" spans="5:46">
      <c r="E99" s="90"/>
      <c r="F99" s="90"/>
      <c r="G99" s="90"/>
      <c r="H99" s="90"/>
      <c r="I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</row>
    <row r="100" spans="5:46">
      <c r="E100" s="90"/>
      <c r="F100" s="90"/>
      <c r="G100" s="90"/>
      <c r="H100" s="90"/>
      <c r="I100" s="90"/>
      <c r="J100" s="90" t="s">
        <v>76</v>
      </c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</row>
    <row r="101" spans="5:46">
      <c r="E101" s="90"/>
      <c r="J101" s="90" t="s">
        <v>77</v>
      </c>
      <c r="N101" s="90"/>
      <c r="AE101" s="90"/>
      <c r="AF101" s="90"/>
      <c r="AG101" s="90"/>
      <c r="AH101" s="90"/>
      <c r="AI101" s="90"/>
      <c r="AJ101" s="90"/>
      <c r="AK101" s="90"/>
    </row>
    <row r="102" spans="5:46">
      <c r="E102" s="90"/>
      <c r="F102" s="90"/>
      <c r="G102" s="90"/>
      <c r="H102" s="90"/>
      <c r="I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5:46"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5:46"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5:46"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5:46"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5:46"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5:46"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5:46"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5:46"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5:46"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5:46"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106"/>
      <c r="AC112" s="106"/>
      <c r="AD112" s="106"/>
      <c r="AE112" s="106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</row>
  </sheetData>
  <sheetProtection selectLockedCells="1"/>
  <mergeCells count="75">
    <mergeCell ref="Y1:AG1"/>
    <mergeCell ref="U25:X25"/>
    <mergeCell ref="A1:D2"/>
    <mergeCell ref="L2:N2"/>
    <mergeCell ref="I2:K2"/>
    <mergeCell ref="O2:Q2"/>
    <mergeCell ref="O7:Q7"/>
    <mergeCell ref="L7:N7"/>
    <mergeCell ref="A14:D14"/>
    <mergeCell ref="I7:K7"/>
    <mergeCell ref="O12:Q12"/>
    <mergeCell ref="I12:K12"/>
    <mergeCell ref="L18:Q19"/>
    <mergeCell ref="F18:K19"/>
    <mergeCell ref="Y2:AA2"/>
    <mergeCell ref="AB2:AD2"/>
    <mergeCell ref="AE2:AG2"/>
    <mergeCell ref="Y8:AG8"/>
    <mergeCell ref="Y12:AG12"/>
    <mergeCell ref="Y5:AG5"/>
    <mergeCell ref="Y16:AG16"/>
    <mergeCell ref="Y20:AG20"/>
    <mergeCell ref="Y24:AG24"/>
    <mergeCell ref="Y50:AB50"/>
    <mergeCell ref="K26:N26"/>
    <mergeCell ref="K25:N25"/>
    <mergeCell ref="P25:S25"/>
    <mergeCell ref="P26:S26"/>
    <mergeCell ref="Y36:AG36"/>
    <mergeCell ref="Y28:AG28"/>
    <mergeCell ref="Y32:AG32"/>
    <mergeCell ref="K27:N28"/>
    <mergeCell ref="P27:S28"/>
    <mergeCell ref="U27:X28"/>
    <mergeCell ref="Y47:AA47"/>
    <mergeCell ref="AC47:AE47"/>
    <mergeCell ref="Y42:AB42"/>
    <mergeCell ref="Y41:AB41"/>
    <mergeCell ref="AC41:AF41"/>
    <mergeCell ref="U26:X26"/>
    <mergeCell ref="O80:R80"/>
    <mergeCell ref="T80:W80"/>
    <mergeCell ref="AC42:AF42"/>
    <mergeCell ref="J80:M80"/>
    <mergeCell ref="J84:M84"/>
    <mergeCell ref="AD71:AG71"/>
    <mergeCell ref="J67:M67"/>
    <mergeCell ref="O67:R67"/>
    <mergeCell ref="T67:W67"/>
    <mergeCell ref="Y67:AB67"/>
    <mergeCell ref="J71:M71"/>
    <mergeCell ref="O71:R71"/>
    <mergeCell ref="T71:W71"/>
    <mergeCell ref="Y71:AB71"/>
    <mergeCell ref="O84:R84"/>
    <mergeCell ref="T84:W84"/>
    <mergeCell ref="Y80:AB80"/>
    <mergeCell ref="Y84:AB84"/>
    <mergeCell ref="AD84:AG84"/>
    <mergeCell ref="AM68:AP68"/>
    <mergeCell ref="O55:R55"/>
    <mergeCell ref="O59:R59"/>
    <mergeCell ref="T55:W55"/>
    <mergeCell ref="T59:W59"/>
    <mergeCell ref="Y55:AB55"/>
    <mergeCell ref="Y59:AB59"/>
    <mergeCell ref="AD59:AG59"/>
    <mergeCell ref="AM55:AP56"/>
    <mergeCell ref="J55:M55"/>
    <mergeCell ref="J59:M59"/>
    <mergeCell ref="A68:D68"/>
    <mergeCell ref="O66:Q66"/>
    <mergeCell ref="AI55:AL56"/>
    <mergeCell ref="A55:D56"/>
    <mergeCell ref="AI68:AL68"/>
  </mergeCells>
  <dataValidations count="3">
    <dataValidation type="list" allowBlank="1" showInputMessage="1" showErrorMessage="1" sqref="AC42:AF42 Y42">
      <formula1>класс</formula1>
    </dataValidation>
    <dataValidation type="list" allowBlank="1" showInputMessage="1" showErrorMessage="1" sqref="AC41:AF41 K26:N26">
      <formula1>Бвещи</formula1>
    </dataValidation>
    <dataValidation type="list" allowBlank="1" showInputMessage="1" showErrorMessage="1" sqref="Y41:AB41">
      <formula1>вещи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I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W48"/>
  <sheetViews>
    <sheetView workbookViewId="0">
      <selection activeCell="F15" sqref="F15"/>
    </sheetView>
  </sheetViews>
  <sheetFormatPr defaultRowHeight="15"/>
  <sheetData>
    <row r="1" spans="1:23">
      <c r="A1" s="275" t="s">
        <v>97</v>
      </c>
      <c r="B1" s="275"/>
      <c r="C1" s="275"/>
      <c r="D1" s="275"/>
      <c r="E1" s="275"/>
      <c r="F1" s="41"/>
      <c r="G1" s="275" t="s">
        <v>98</v>
      </c>
      <c r="H1" s="275"/>
      <c r="I1" s="275"/>
      <c r="J1" s="275"/>
      <c r="K1" s="275"/>
      <c r="L1" s="275"/>
      <c r="M1" s="41"/>
      <c r="N1" s="275" t="s">
        <v>99</v>
      </c>
      <c r="O1" s="275"/>
      <c r="P1" s="275"/>
      <c r="Q1" s="275"/>
      <c r="R1" s="275"/>
      <c r="S1" s="275"/>
      <c r="T1" s="41"/>
      <c r="U1" s="41"/>
      <c r="V1" s="41"/>
      <c r="W1" s="41"/>
    </row>
    <row r="2" spans="1:23">
      <c r="A2" s="275"/>
      <c r="B2" s="275"/>
      <c r="C2" s="275"/>
      <c r="D2" s="275"/>
      <c r="E2" s="275"/>
      <c r="F2" s="41"/>
      <c r="G2" s="275"/>
      <c r="H2" s="275"/>
      <c r="I2" s="275"/>
      <c r="J2" s="275"/>
      <c r="K2" s="275"/>
      <c r="L2" s="275"/>
      <c r="M2" s="41"/>
      <c r="N2" s="275"/>
      <c r="O2" s="275"/>
      <c r="P2" s="275"/>
      <c r="Q2" s="275"/>
      <c r="R2" s="275"/>
      <c r="S2" s="275"/>
      <c r="T2" s="41"/>
      <c r="U2" s="41"/>
      <c r="V2" s="41"/>
      <c r="W2" s="41"/>
    </row>
    <row r="3" spans="1:23">
      <c r="A3" s="275"/>
      <c r="B3" s="275"/>
      <c r="C3" s="275"/>
      <c r="D3" s="275"/>
      <c r="E3" s="275"/>
      <c r="F3" s="41"/>
      <c r="G3" s="275"/>
      <c r="H3" s="275"/>
      <c r="I3" s="275"/>
      <c r="J3" s="275"/>
      <c r="K3" s="275"/>
      <c r="L3" s="275"/>
      <c r="M3" s="41"/>
      <c r="N3" s="275"/>
      <c r="O3" s="275"/>
      <c r="P3" s="275"/>
      <c r="Q3" s="275"/>
      <c r="R3" s="275"/>
      <c r="S3" s="275"/>
      <c r="T3" s="41"/>
      <c r="U3" s="41"/>
      <c r="V3" s="41"/>
      <c r="W3" s="41"/>
    </row>
    <row r="4" spans="1:2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</sheetData>
  <mergeCells count="3">
    <mergeCell ref="A1:E3"/>
    <mergeCell ref="G1:L3"/>
    <mergeCell ref="N1:S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O21"/>
  <sheetViews>
    <sheetView topLeftCell="A10" workbookViewId="0">
      <selection activeCell="H12" sqref="H12"/>
    </sheetView>
  </sheetViews>
  <sheetFormatPr defaultRowHeight="15"/>
  <cols>
    <col min="1" max="1" width="17.85546875" customWidth="1"/>
    <col min="5" max="5" width="18.28515625" customWidth="1"/>
    <col min="16" max="16" width="8.28515625" customWidth="1"/>
  </cols>
  <sheetData>
    <row r="1" spans="1:15" ht="21" customHeight="1">
      <c r="A1" s="125" t="s">
        <v>90</v>
      </c>
      <c r="B1" s="126" t="s">
        <v>91</v>
      </c>
      <c r="E1" s="125" t="s">
        <v>90</v>
      </c>
      <c r="F1" s="126" t="s">
        <v>91</v>
      </c>
      <c r="I1" s="125" t="s">
        <v>90</v>
      </c>
      <c r="J1" s="126" t="s">
        <v>91</v>
      </c>
    </row>
    <row r="2" spans="1:15" ht="44.25" customHeight="1">
      <c r="A2" s="127" t="s">
        <v>6</v>
      </c>
      <c r="B2" s="128"/>
      <c r="E2" s="127" t="s">
        <v>6</v>
      </c>
      <c r="F2" s="128"/>
      <c r="I2" s="127" t="s">
        <v>6</v>
      </c>
      <c r="J2" s="128"/>
      <c r="O2" s="132" t="s">
        <v>26</v>
      </c>
    </row>
    <row r="3" spans="1:15" ht="43.5" customHeight="1">
      <c r="A3" s="127" t="s">
        <v>29</v>
      </c>
      <c r="B3" s="128"/>
      <c r="E3" s="127" t="s">
        <v>29</v>
      </c>
      <c r="F3" s="128"/>
      <c r="I3" s="127" t="s">
        <v>29</v>
      </c>
      <c r="J3" s="128"/>
      <c r="O3" s="132" t="s">
        <v>9</v>
      </c>
    </row>
    <row r="4" spans="1:15" ht="46.5" customHeight="1">
      <c r="A4" s="127" t="s">
        <v>38</v>
      </c>
      <c r="B4" s="129"/>
      <c r="E4" s="127" t="s">
        <v>38</v>
      </c>
      <c r="F4" s="129"/>
      <c r="I4" s="127" t="s">
        <v>38</v>
      </c>
      <c r="J4" s="129"/>
      <c r="O4" s="132" t="s">
        <v>28</v>
      </c>
    </row>
    <row r="5" spans="1:15" ht="45.75" customHeight="1" thickBot="1">
      <c r="A5" s="130" t="s">
        <v>39</v>
      </c>
      <c r="B5" s="131"/>
      <c r="E5" s="130" t="s">
        <v>39</v>
      </c>
      <c r="F5" s="131"/>
      <c r="I5" s="130" t="s">
        <v>39</v>
      </c>
      <c r="J5" s="131"/>
    </row>
    <row r="6" spans="1:15" ht="45" customHeight="1">
      <c r="A6" s="124" t="s">
        <v>33</v>
      </c>
      <c r="B6" s="124"/>
      <c r="E6" s="124" t="s">
        <v>33</v>
      </c>
      <c r="F6" s="124"/>
      <c r="I6" s="124" t="s">
        <v>33</v>
      </c>
      <c r="J6" s="124"/>
    </row>
    <row r="7" spans="1:15" ht="45" customHeight="1">
      <c r="A7" s="133" t="s">
        <v>63</v>
      </c>
      <c r="E7" s="133" t="s">
        <v>63</v>
      </c>
      <c r="I7" s="133" t="s">
        <v>63</v>
      </c>
    </row>
    <row r="8" spans="1:15" ht="44.25" customHeight="1">
      <c r="A8" s="133" t="s">
        <v>40</v>
      </c>
    </row>
    <row r="9" spans="1:15" ht="45" customHeight="1">
      <c r="A9" s="133" t="s">
        <v>92</v>
      </c>
    </row>
    <row r="10" spans="1:15" ht="45" customHeight="1">
      <c r="A10" s="133" t="s">
        <v>93</v>
      </c>
    </row>
    <row r="11" spans="1:15" ht="45" customHeight="1">
      <c r="A11" s="133" t="s">
        <v>94</v>
      </c>
    </row>
    <row r="12" spans="1:15" ht="45" customHeight="1">
      <c r="A12" s="133" t="s">
        <v>43</v>
      </c>
      <c r="I12" s="124" t="s">
        <v>89</v>
      </c>
    </row>
    <row r="13" spans="1:15" ht="44.25" customHeight="1"/>
    <row r="15" spans="1:15" ht="15.75" thickBot="1">
      <c r="B15" s="135">
        <v>1</v>
      </c>
      <c r="C15" s="136">
        <v>2</v>
      </c>
      <c r="D15" s="137">
        <v>3</v>
      </c>
    </row>
    <row r="16" spans="1:15">
      <c r="A16" s="134" t="s">
        <v>95</v>
      </c>
      <c r="B16" s="138">
        <f>IF(Лист1!K9=A19,5,-1)</f>
        <v>-1</v>
      </c>
      <c r="C16" s="139">
        <f>IF(Лист1!O9=Лист5!A19,5,-1)</f>
        <v>-1</v>
      </c>
      <c r="D16" s="140">
        <f>IF(Лист1!S9=Лист5!A19,5,-1)</f>
        <v>-1</v>
      </c>
    </row>
    <row r="17" spans="1:4" ht="15.75" thickBot="1">
      <c r="A17" s="134" t="s">
        <v>96</v>
      </c>
      <c r="B17" s="26">
        <f>IF(выбор_к1=A20,1,IF(выбор_к1=Лист5!A21,2,0))</f>
        <v>2</v>
      </c>
      <c r="C17" s="4">
        <f>IF(выбор_к2=A20,1,IF(выбор_к2=Лист5!A21,2,0))</f>
        <v>0</v>
      </c>
      <c r="D17" s="6">
        <f>IF(выбор_к3=A20,1,IF(выбор_к3=Лист5!A21,2,0))</f>
        <v>1</v>
      </c>
    </row>
    <row r="19" spans="1:4">
      <c r="A19" s="134" t="s">
        <v>47</v>
      </c>
    </row>
    <row r="20" spans="1:4">
      <c r="A20" s="2" t="s">
        <v>28</v>
      </c>
    </row>
    <row r="21" spans="1:4">
      <c r="A21" s="2" t="s">
        <v>9</v>
      </c>
    </row>
  </sheetData>
  <sheetProtection password="DF8C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20</vt:i4>
      </vt:variant>
    </vt:vector>
  </HeadingPairs>
  <TitlesOfParts>
    <vt:vector size="26" baseType="lpstr">
      <vt:lpstr>Лист1</vt:lpstr>
      <vt:lpstr>Лист2</vt:lpstr>
      <vt:lpstr>Лист3</vt:lpstr>
      <vt:lpstr>Лист4</vt:lpstr>
      <vt:lpstr>Лист6</vt:lpstr>
      <vt:lpstr>Лист5</vt:lpstr>
      <vt:lpstr>orugie</vt:lpstr>
      <vt:lpstr>veshi</vt:lpstr>
      <vt:lpstr>Бвещи</vt:lpstr>
      <vt:lpstr>вел_мал1</vt:lpstr>
      <vt:lpstr>вел_мал2</vt:lpstr>
      <vt:lpstr>вел_мал3</vt:lpstr>
      <vt:lpstr>вещи</vt:lpstr>
      <vt:lpstr>выбор</vt:lpstr>
      <vt:lpstr>выбор_к1</vt:lpstr>
      <vt:lpstr>выбор_к2</vt:lpstr>
      <vt:lpstr>выбор_к3</vt:lpstr>
      <vt:lpstr>выбор2</vt:lpstr>
      <vt:lpstr>выбор3</vt:lpstr>
      <vt:lpstr>класс</vt:lpstr>
      <vt:lpstr>левл</vt:lpstr>
      <vt:lpstr>маг_дамаг_танк1</vt:lpstr>
      <vt:lpstr>маг_дамаг_танк2</vt:lpstr>
      <vt:lpstr>маг_дамаг_танк3</vt:lpstr>
      <vt:lpstr>рис_класс</vt:lpstr>
      <vt:lpstr>учитывать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Света</cp:lastModifiedBy>
  <dcterms:created xsi:type="dcterms:W3CDTF">2014-04-24T21:51:47Z</dcterms:created>
  <dcterms:modified xsi:type="dcterms:W3CDTF">2015-09-26T20:24:21Z</dcterms:modified>
</cp:coreProperties>
</file>